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rajlo\Downloads\"/>
    </mc:Choice>
  </mc:AlternateContent>
  <xr:revisionPtr revIDLastSave="0" documentId="13_ncr:1_{315BB044-298E-410C-9436-A68898E66451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EMI Calculator" sheetId="1" r:id="rId1"/>
    <sheet name="Amortization Schedule" sheetId="2" r:id="rId2"/>
    <sheet name="Prepayment Calculator" sheetId="3" r:id="rId3"/>
    <sheet name="Loan Comparison" sheetId="4" r:id="rId4"/>
    <sheet name="Strategy Simulator" sheetId="5" r:id="rId5"/>
    <sheet name="Example Scenarios" sheetId="6" r:id="rId6"/>
    <sheet name="Formula Guide" sheetId="7" r:id="rId7"/>
    <sheet name="User Guide" sheetId="8" r:id="rId8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16" i="6" l="1"/>
  <c r="J16" i="6" s="1"/>
  <c r="G15" i="6"/>
  <c r="J15" i="6" s="1"/>
  <c r="G14" i="6"/>
  <c r="G13" i="6"/>
  <c r="G12" i="6"/>
  <c r="G11" i="6"/>
  <c r="G10" i="6"/>
  <c r="G9" i="6"/>
  <c r="G8" i="6"/>
  <c r="G7" i="6"/>
  <c r="G6" i="6"/>
  <c r="G5" i="6"/>
  <c r="C21" i="5"/>
  <c r="C20" i="5"/>
  <c r="F17" i="5"/>
  <c r="C17" i="5"/>
  <c r="C7" i="5"/>
  <c r="E17" i="5" s="1"/>
  <c r="C6" i="5"/>
  <c r="C5" i="5"/>
  <c r="E13" i="4"/>
  <c r="E12" i="4"/>
  <c r="C7" i="4"/>
  <c r="D6" i="4"/>
  <c r="C6" i="4"/>
  <c r="E6" i="4" s="1"/>
  <c r="D5" i="4"/>
  <c r="E5" i="4" s="1"/>
  <c r="C5" i="4"/>
  <c r="C21" i="3"/>
  <c r="C7" i="3"/>
  <c r="C18" i="3" s="1"/>
  <c r="C6" i="3"/>
  <c r="C5" i="3"/>
  <c r="C249" i="2"/>
  <c r="C231" i="2"/>
  <c r="C221" i="2"/>
  <c r="C206" i="2"/>
  <c r="C190" i="2"/>
  <c r="C170" i="2"/>
  <c r="C167" i="2"/>
  <c r="C154" i="2"/>
  <c r="C153" i="2"/>
  <c r="C150" i="2"/>
  <c r="C135" i="2"/>
  <c r="C134" i="2"/>
  <c r="C133" i="2"/>
  <c r="C125" i="2"/>
  <c r="C122" i="2"/>
  <c r="C121" i="2"/>
  <c r="C111" i="2"/>
  <c r="C109" i="2"/>
  <c r="C108" i="2"/>
  <c r="C100" i="2"/>
  <c r="C99" i="2"/>
  <c r="C98" i="2"/>
  <c r="C91" i="2"/>
  <c r="C90" i="2"/>
  <c r="C88" i="2"/>
  <c r="C87" i="2"/>
  <c r="C80" i="2"/>
  <c r="C79" i="2"/>
  <c r="C77" i="2"/>
  <c r="C76" i="2"/>
  <c r="C69" i="2"/>
  <c r="C68" i="2"/>
  <c r="C67" i="2"/>
  <c r="C66" i="2"/>
  <c r="C59" i="2"/>
  <c r="C58" i="2"/>
  <c r="C56" i="2"/>
  <c r="C55" i="2"/>
  <c r="C48" i="2"/>
  <c r="C47" i="2"/>
  <c r="C45" i="2"/>
  <c r="C44" i="2"/>
  <c r="C37" i="2"/>
  <c r="C36" i="2"/>
  <c r="C35" i="2"/>
  <c r="C34" i="2"/>
  <c r="C27" i="2"/>
  <c r="C26" i="2"/>
  <c r="C24" i="2"/>
  <c r="C23" i="2"/>
  <c r="C16" i="2"/>
  <c r="C15" i="2"/>
  <c r="C13" i="2"/>
  <c r="C12" i="2"/>
  <c r="C8" i="2"/>
  <c r="G11" i="2" s="1"/>
  <c r="F7" i="2"/>
  <c r="C7" i="2"/>
  <c r="C223" i="2" s="1"/>
  <c r="C6" i="2"/>
  <c r="F5" i="2"/>
  <c r="C5" i="2"/>
  <c r="F18" i="1"/>
  <c r="F11" i="1"/>
  <c r="F9" i="1"/>
  <c r="F6" i="1"/>
  <c r="C101" i="2" l="1"/>
  <c r="C112" i="2"/>
  <c r="C126" i="2"/>
  <c r="C136" i="2"/>
  <c r="C156" i="2"/>
  <c r="C174" i="2"/>
  <c r="C207" i="2"/>
  <c r="C225" i="2"/>
  <c r="C251" i="2"/>
  <c r="C18" i="2"/>
  <c r="C39" i="2"/>
  <c r="C60" i="2"/>
  <c r="C82" i="2"/>
  <c r="C103" i="2"/>
  <c r="C127" i="2"/>
  <c r="C177" i="2"/>
  <c r="C19" i="2"/>
  <c r="C29" i="2"/>
  <c r="C40" i="2"/>
  <c r="C51" i="2"/>
  <c r="C61" i="2"/>
  <c r="C72" i="2"/>
  <c r="C83" i="2"/>
  <c r="C93" i="2"/>
  <c r="C104" i="2"/>
  <c r="C114" i="2"/>
  <c r="C128" i="2"/>
  <c r="C142" i="2"/>
  <c r="C161" i="2"/>
  <c r="C181" i="2"/>
  <c r="C210" i="2"/>
  <c r="C232" i="2"/>
  <c r="C20" i="2"/>
  <c r="C31" i="2"/>
  <c r="C42" i="2"/>
  <c r="C52" i="2"/>
  <c r="C63" i="2"/>
  <c r="C74" i="2"/>
  <c r="C84" i="2"/>
  <c r="C95" i="2"/>
  <c r="C106" i="2"/>
  <c r="C119" i="2"/>
  <c r="C129" i="2"/>
  <c r="C143" i="2"/>
  <c r="C164" i="2"/>
  <c r="C184" i="2"/>
  <c r="C211" i="2"/>
  <c r="C235" i="2"/>
  <c r="C28" i="2"/>
  <c r="C50" i="2"/>
  <c r="C71" i="2"/>
  <c r="C92" i="2"/>
  <c r="C113" i="2"/>
  <c r="C141" i="2"/>
  <c r="C158" i="2"/>
  <c r="C208" i="2"/>
  <c r="C11" i="2"/>
  <c r="C21" i="2"/>
  <c r="C32" i="2"/>
  <c r="C43" i="2"/>
  <c r="C53" i="2"/>
  <c r="C64" i="2"/>
  <c r="C75" i="2"/>
  <c r="C85" i="2"/>
  <c r="C96" i="2"/>
  <c r="C107" i="2"/>
  <c r="C120" i="2"/>
  <c r="C130" i="2"/>
  <c r="C146" i="2"/>
  <c r="C166" i="2"/>
  <c r="C189" i="2"/>
  <c r="C214" i="2"/>
  <c r="C240" i="2"/>
  <c r="C215" i="2"/>
  <c r="C242" i="2"/>
  <c r="C169" i="2"/>
  <c r="C194" i="2"/>
  <c r="C219" i="2"/>
  <c r="C246" i="2"/>
  <c r="C8" i="5"/>
  <c r="D8" i="4"/>
  <c r="C8" i="4"/>
  <c r="C8" i="3"/>
  <c r="F15" i="1"/>
  <c r="F8" i="1"/>
  <c r="F6" i="2"/>
  <c r="D11" i="2" s="1"/>
  <c r="F16" i="1"/>
  <c r="F11" i="2"/>
  <c r="J5" i="6"/>
  <c r="H5" i="6"/>
  <c r="K5" i="6" s="1"/>
  <c r="J13" i="6"/>
  <c r="H13" i="6"/>
  <c r="K13" i="6" s="1"/>
  <c r="F7" i="1"/>
  <c r="F10" i="1" s="1"/>
  <c r="J8" i="6"/>
  <c r="H8" i="6"/>
  <c r="K8" i="6" s="1"/>
  <c r="C17" i="2"/>
  <c r="C25" i="2"/>
  <c r="C33" i="2"/>
  <c r="C41" i="2"/>
  <c r="C49" i="2"/>
  <c r="C57" i="2"/>
  <c r="C65" i="2"/>
  <c r="C73" i="2"/>
  <c r="C81" i="2"/>
  <c r="C89" i="2"/>
  <c r="C97" i="2"/>
  <c r="C105" i="2"/>
  <c r="C118" i="2"/>
  <c r="C138" i="2"/>
  <c r="C198" i="2"/>
  <c r="C11" i="4"/>
  <c r="C247" i="2"/>
  <c r="C248" i="2"/>
  <c r="C244" i="2"/>
  <c r="C236" i="2"/>
  <c r="C228" i="2"/>
  <c r="C220" i="2"/>
  <c r="C212" i="2"/>
  <c r="C204" i="2"/>
  <c r="C196" i="2"/>
  <c r="C188" i="2"/>
  <c r="C180" i="2"/>
  <c r="C172" i="2"/>
  <c r="C245" i="2"/>
  <c r="C233" i="2"/>
  <c r="C229" i="2"/>
  <c r="C216" i="2"/>
  <c r="C203" i="2"/>
  <c r="C199" i="2"/>
  <c r="C186" i="2"/>
  <c r="C182" i="2"/>
  <c r="C168" i="2"/>
  <c r="C160" i="2"/>
  <c r="C152" i="2"/>
  <c r="C144" i="2"/>
  <c r="C250" i="2"/>
  <c r="C234" i="2"/>
  <c r="C230" i="2"/>
  <c r="C217" i="2"/>
  <c r="C213" i="2"/>
  <c r="C200" i="2"/>
  <c r="C243" i="2"/>
  <c r="C239" i="2"/>
  <c r="C226" i="2"/>
  <c r="C222" i="2"/>
  <c r="C209" i="2"/>
  <c r="C205" i="2"/>
  <c r="C192" i="2"/>
  <c r="C179" i="2"/>
  <c r="C175" i="2"/>
  <c r="C163" i="2"/>
  <c r="C155" i="2"/>
  <c r="C147" i="2"/>
  <c r="C237" i="2"/>
  <c r="C218" i="2"/>
  <c r="C197" i="2"/>
  <c r="C193" i="2"/>
  <c r="C191" i="2"/>
  <c r="C187" i="2"/>
  <c r="C173" i="2"/>
  <c r="C165" i="2"/>
  <c r="C162" i="2"/>
  <c r="C159" i="2"/>
  <c r="C139" i="2"/>
  <c r="C131" i="2"/>
  <c r="C123" i="2"/>
  <c r="C115" i="2"/>
  <c r="C241" i="2"/>
  <c r="C201" i="2"/>
  <c r="C195" i="2"/>
  <c r="C185" i="2"/>
  <c r="C178" i="2"/>
  <c r="C171" i="2"/>
  <c r="C148" i="2"/>
  <c r="C145" i="2"/>
  <c r="C140" i="2"/>
  <c r="C132" i="2"/>
  <c r="C124" i="2"/>
  <c r="C116" i="2"/>
  <c r="C14" i="2"/>
  <c r="C22" i="2"/>
  <c r="C30" i="2"/>
  <c r="C38" i="2"/>
  <c r="C46" i="2"/>
  <c r="C54" i="2"/>
  <c r="C62" i="2"/>
  <c r="C70" i="2"/>
  <c r="C78" i="2"/>
  <c r="C86" i="2"/>
  <c r="C94" i="2"/>
  <c r="C102" i="2"/>
  <c r="C110" i="2"/>
  <c r="C117" i="2"/>
  <c r="C137" i="2"/>
  <c r="C149" i="2"/>
  <c r="C151" i="2"/>
  <c r="C157" i="2"/>
  <c r="C176" i="2"/>
  <c r="C183" i="2"/>
  <c r="C202" i="2"/>
  <c r="C224" i="2"/>
  <c r="C227" i="2"/>
  <c r="C238" i="2"/>
  <c r="J6" i="6"/>
  <c r="H6" i="6"/>
  <c r="K6" i="6" s="1"/>
  <c r="J14" i="6"/>
  <c r="H14" i="6"/>
  <c r="K14" i="6" s="1"/>
  <c r="J7" i="6"/>
  <c r="H7" i="6"/>
  <c r="K7" i="6" s="1"/>
  <c r="J11" i="6"/>
  <c r="H11" i="6"/>
  <c r="K11" i="6" s="1"/>
  <c r="J9" i="6"/>
  <c r="H9" i="6"/>
  <c r="K9" i="6" s="1"/>
  <c r="J10" i="6"/>
  <c r="H10" i="6"/>
  <c r="K10" i="6" s="1"/>
  <c r="J12" i="6"/>
  <c r="H12" i="6"/>
  <c r="K12" i="6" s="1"/>
  <c r="H15" i="6"/>
  <c r="K15" i="6" s="1"/>
  <c r="D17" i="5"/>
  <c r="H16" i="6"/>
  <c r="K16" i="6" s="1"/>
  <c r="E11" i="2" l="1"/>
  <c r="C19" i="3"/>
  <c r="I11" i="2"/>
  <c r="E8" i="4"/>
  <c r="F21" i="5"/>
  <c r="E21" i="5"/>
  <c r="D21" i="5"/>
  <c r="F16" i="5"/>
  <c r="F18" i="5" s="1"/>
  <c r="F19" i="5" s="1"/>
  <c r="E16" i="5"/>
  <c r="E18" i="5" s="1"/>
  <c r="E19" i="5" s="1"/>
  <c r="D16" i="5"/>
  <c r="D18" i="5" s="1"/>
  <c r="D19" i="5" s="1"/>
  <c r="C16" i="5"/>
  <c r="C18" i="5" s="1"/>
  <c r="C19" i="5" s="1"/>
  <c r="F17" i="1"/>
  <c r="F18" i="3"/>
  <c r="D11" i="4" l="1"/>
  <c r="E11" i="4" s="1"/>
  <c r="D7" i="4"/>
  <c r="E7" i="4" s="1"/>
  <c r="F21" i="3"/>
  <c r="D26" i="3" s="1"/>
  <c r="C20" i="3"/>
  <c r="C9" i="4"/>
  <c r="F19" i="3"/>
  <c r="H11" i="2"/>
  <c r="F20" i="5"/>
  <c r="E20" i="5"/>
  <c r="D20" i="5"/>
  <c r="F12" i="2" l="1"/>
  <c r="G12" i="2"/>
  <c r="D12" i="2"/>
  <c r="D25" i="3"/>
  <c r="D27" i="3" s="1"/>
  <c r="C10" i="4"/>
  <c r="F20" i="3"/>
  <c r="D10" i="4" s="1"/>
  <c r="D9" i="4"/>
  <c r="E9" i="4" s="1"/>
  <c r="I12" i="2" l="1"/>
  <c r="E12" i="2"/>
  <c r="E10" i="4"/>
  <c r="H12" i="2" l="1"/>
  <c r="G13" i="2" l="1"/>
  <c r="F13" i="2"/>
  <c r="D13" i="2"/>
  <c r="E13" i="2" l="1"/>
  <c r="I13" i="2"/>
  <c r="H13" i="2" l="1"/>
  <c r="G14" i="2" l="1"/>
  <c r="F14" i="2"/>
  <c r="D14" i="2"/>
  <c r="E14" i="2" l="1"/>
  <c r="I14" i="2"/>
  <c r="H14" i="2" l="1"/>
  <c r="D15" i="2" l="1"/>
  <c r="G15" i="2"/>
  <c r="F15" i="2"/>
  <c r="I15" i="2" l="1"/>
  <c r="E15" i="2"/>
  <c r="H15" i="2" l="1"/>
  <c r="G16" i="2" l="1"/>
  <c r="D16" i="2"/>
  <c r="F16" i="2"/>
  <c r="I16" i="2" s="1"/>
  <c r="E16" i="2" l="1"/>
  <c r="H16" i="2" s="1"/>
  <c r="F17" i="2" l="1"/>
  <c r="I17" i="2" s="1"/>
  <c r="G17" i="2"/>
  <c r="D17" i="2"/>
  <c r="E17" i="2" s="1"/>
  <c r="H17" i="2" s="1"/>
  <c r="G18" i="2" l="1"/>
  <c r="D18" i="2"/>
  <c r="F18" i="2"/>
  <c r="I18" i="2"/>
  <c r="E18" i="2" l="1"/>
  <c r="H18" i="2" s="1"/>
  <c r="G19" i="2" l="1"/>
  <c r="F19" i="2"/>
  <c r="I19" i="2" s="1"/>
  <c r="D19" i="2"/>
  <c r="E19" i="2" s="1"/>
  <c r="H19" i="2" s="1"/>
  <c r="F20" i="2" l="1"/>
  <c r="G20" i="2"/>
  <c r="D20" i="2"/>
  <c r="E20" i="2" s="1"/>
  <c r="H20" i="2" s="1"/>
  <c r="I20" i="2"/>
  <c r="G21" i="2" l="1"/>
  <c r="D21" i="2"/>
  <c r="F21" i="2"/>
  <c r="I21" i="2"/>
  <c r="E21" i="2" l="1"/>
  <c r="H21" i="2" s="1"/>
  <c r="G22" i="2" l="1"/>
  <c r="F22" i="2"/>
  <c r="I22" i="2" s="1"/>
  <c r="D22" i="2"/>
  <c r="E22" i="2" s="1"/>
  <c r="H22" i="2" s="1"/>
  <c r="D23" i="2" l="1"/>
  <c r="G23" i="2"/>
  <c r="F23" i="2"/>
  <c r="I23" i="2"/>
  <c r="E23" i="2" l="1"/>
  <c r="H23" i="2" s="1"/>
  <c r="D24" i="2" l="1"/>
  <c r="F24" i="2"/>
  <c r="I24" i="2" s="1"/>
  <c r="G24" i="2"/>
  <c r="E24" i="2" l="1"/>
  <c r="H24" i="2" s="1"/>
  <c r="F25" i="2" l="1"/>
  <c r="I25" i="2" s="1"/>
  <c r="D25" i="2"/>
  <c r="E25" i="2" s="1"/>
  <c r="H25" i="2" s="1"/>
  <c r="G25" i="2"/>
  <c r="G26" i="2" l="1"/>
  <c r="D26" i="2"/>
  <c r="F26" i="2"/>
  <c r="I26" i="2"/>
  <c r="E26" i="2" l="1"/>
  <c r="H26" i="2" s="1"/>
  <c r="D27" i="2" l="1"/>
  <c r="F27" i="2"/>
  <c r="I27" i="2" s="1"/>
  <c r="G27" i="2"/>
  <c r="E27" i="2" l="1"/>
  <c r="H27" i="2" s="1"/>
  <c r="F28" i="2" l="1"/>
  <c r="I28" i="2" s="1"/>
  <c r="D28" i="2"/>
  <c r="E28" i="2" s="1"/>
  <c r="H28" i="2" s="1"/>
  <c r="G28" i="2"/>
  <c r="G29" i="2" l="1"/>
  <c r="D29" i="2"/>
  <c r="F29" i="2"/>
  <c r="I29" i="2"/>
  <c r="E29" i="2" l="1"/>
  <c r="H29" i="2" s="1"/>
  <c r="D30" i="2" l="1"/>
  <c r="G30" i="2"/>
  <c r="F30" i="2"/>
  <c r="I30" i="2" s="1"/>
  <c r="E30" i="2" l="1"/>
  <c r="H30" i="2" s="1"/>
  <c r="D31" i="2" l="1"/>
  <c r="G31" i="2"/>
  <c r="F31" i="2"/>
  <c r="I31" i="2" s="1"/>
  <c r="E31" i="2" l="1"/>
  <c r="H31" i="2" s="1"/>
  <c r="G32" i="2" l="1"/>
  <c r="D32" i="2"/>
  <c r="F32" i="2"/>
  <c r="I32" i="2" s="1"/>
  <c r="E32" i="2" l="1"/>
  <c r="H32" i="2" s="1"/>
  <c r="F33" i="2" l="1"/>
  <c r="I33" i="2" s="1"/>
  <c r="D33" i="2"/>
  <c r="E33" i="2" s="1"/>
  <c r="G33" i="2"/>
  <c r="H33" i="2" s="1"/>
  <c r="G34" i="2" l="1"/>
  <c r="D34" i="2"/>
  <c r="F34" i="2"/>
  <c r="I34" i="2" s="1"/>
  <c r="E34" i="2" l="1"/>
  <c r="H34" i="2" s="1"/>
  <c r="F35" i="2" l="1"/>
  <c r="I35" i="2" s="1"/>
  <c r="D35" i="2"/>
  <c r="G35" i="2"/>
  <c r="E35" i="2" l="1"/>
  <c r="H35" i="2" s="1"/>
  <c r="F36" i="2" l="1"/>
  <c r="I36" i="2" s="1"/>
  <c r="D36" i="2"/>
  <c r="E36" i="2" s="1"/>
  <c r="H36" i="2" s="1"/>
  <c r="G36" i="2"/>
  <c r="G37" i="2" l="1"/>
  <c r="F37" i="2"/>
  <c r="I37" i="2" s="1"/>
  <c r="D37" i="2"/>
  <c r="E37" i="2" l="1"/>
  <c r="H37" i="2" s="1"/>
  <c r="G38" i="2" l="1"/>
  <c r="D38" i="2"/>
  <c r="E38" i="2" s="1"/>
  <c r="H38" i="2" s="1"/>
  <c r="F38" i="2"/>
  <c r="I38" i="2" s="1"/>
  <c r="D39" i="2" l="1"/>
  <c r="F39" i="2"/>
  <c r="G39" i="2"/>
  <c r="I39" i="2"/>
  <c r="E39" i="2" l="1"/>
  <c r="H39" i="2" s="1"/>
  <c r="F40" i="2" l="1"/>
  <c r="I40" i="2" s="1"/>
  <c r="G40" i="2"/>
  <c r="D40" i="2"/>
  <c r="E40" i="2" l="1"/>
  <c r="H40" i="2" s="1"/>
  <c r="F41" i="2" l="1"/>
  <c r="I41" i="2" s="1"/>
  <c r="D41" i="2"/>
  <c r="E41" i="2" s="1"/>
  <c r="H41" i="2" s="1"/>
  <c r="G41" i="2"/>
  <c r="G42" i="2" l="1"/>
  <c r="D42" i="2"/>
  <c r="F42" i="2"/>
  <c r="I42" i="2" s="1"/>
  <c r="E42" i="2" l="1"/>
  <c r="H42" i="2" s="1"/>
  <c r="F43" i="2" l="1"/>
  <c r="I43" i="2" s="1"/>
  <c r="G43" i="2"/>
  <c r="D43" i="2"/>
  <c r="E43" i="2" s="1"/>
  <c r="H43" i="2" s="1"/>
  <c r="F44" i="2" l="1"/>
  <c r="D44" i="2"/>
  <c r="E44" i="2" s="1"/>
  <c r="H44" i="2" s="1"/>
  <c r="G44" i="2"/>
  <c r="I44" i="2"/>
  <c r="G45" i="2" l="1"/>
  <c r="F45" i="2"/>
  <c r="D45" i="2"/>
  <c r="I45" i="2"/>
  <c r="E45" i="2" l="1"/>
  <c r="H45" i="2" s="1"/>
  <c r="F46" i="2" l="1"/>
  <c r="I46" i="2" s="1"/>
  <c r="G46" i="2"/>
  <c r="D46" i="2"/>
  <c r="E46" i="2" s="1"/>
  <c r="H46" i="2" s="1"/>
  <c r="D47" i="2" l="1"/>
  <c r="G47" i="2"/>
  <c r="F47" i="2"/>
  <c r="I47" i="2" s="1"/>
  <c r="E47" i="2" l="1"/>
  <c r="H47" i="2" s="1"/>
  <c r="G48" i="2" l="1"/>
  <c r="F48" i="2"/>
  <c r="I48" i="2" s="1"/>
  <c r="D48" i="2"/>
  <c r="E48" i="2" s="1"/>
  <c r="H48" i="2" s="1"/>
  <c r="F49" i="2" l="1"/>
  <c r="G49" i="2"/>
  <c r="D49" i="2"/>
  <c r="E49" i="2" s="1"/>
  <c r="H49" i="2" s="1"/>
  <c r="I49" i="2"/>
  <c r="G50" i="2" l="1"/>
  <c r="D50" i="2"/>
  <c r="F50" i="2"/>
  <c r="I50" i="2" s="1"/>
  <c r="E50" i="2" l="1"/>
  <c r="H50" i="2" s="1"/>
  <c r="G51" i="2" l="1"/>
  <c r="F51" i="2"/>
  <c r="I51" i="2" s="1"/>
  <c r="D51" i="2"/>
  <c r="E51" i="2" s="1"/>
  <c r="H51" i="2" s="1"/>
  <c r="F52" i="2" l="1"/>
  <c r="G52" i="2"/>
  <c r="D52" i="2"/>
  <c r="E52" i="2" s="1"/>
  <c r="H52" i="2" s="1"/>
  <c r="I52" i="2"/>
  <c r="G53" i="2" l="1"/>
  <c r="D53" i="2"/>
  <c r="F53" i="2"/>
  <c r="I53" i="2" s="1"/>
  <c r="E53" i="2" l="1"/>
  <c r="H53" i="2" s="1"/>
  <c r="G54" i="2" l="1"/>
  <c r="D54" i="2"/>
  <c r="F54" i="2"/>
  <c r="I54" i="2" s="1"/>
  <c r="E54" i="2" l="1"/>
  <c r="H54" i="2" s="1"/>
  <c r="D55" i="2" l="1"/>
  <c r="G55" i="2"/>
  <c r="F55" i="2"/>
  <c r="I55" i="2" s="1"/>
  <c r="E55" i="2" l="1"/>
  <c r="H55" i="2" s="1"/>
  <c r="D56" i="2" l="1"/>
  <c r="G56" i="2"/>
  <c r="F56" i="2"/>
  <c r="I56" i="2" s="1"/>
  <c r="E56" i="2" l="1"/>
  <c r="H56" i="2" s="1"/>
  <c r="F57" i="2" l="1"/>
  <c r="I57" i="2" s="1"/>
  <c r="D57" i="2"/>
  <c r="E57" i="2" s="1"/>
  <c r="H57" i="2" s="1"/>
  <c r="G57" i="2"/>
  <c r="G58" i="2" l="1"/>
  <c r="D58" i="2"/>
  <c r="F58" i="2"/>
  <c r="I58" i="2" s="1"/>
  <c r="E58" i="2" l="1"/>
  <c r="H58" i="2" s="1"/>
  <c r="D59" i="2" l="1"/>
  <c r="F59" i="2"/>
  <c r="I59" i="2" s="1"/>
  <c r="G59" i="2"/>
  <c r="E59" i="2" l="1"/>
  <c r="H59" i="2" s="1"/>
  <c r="F60" i="2" l="1"/>
  <c r="I60" i="2" s="1"/>
  <c r="D60" i="2"/>
  <c r="G60" i="2"/>
  <c r="E60" i="2" l="1"/>
  <c r="H60" i="2" s="1"/>
  <c r="G61" i="2" l="1"/>
  <c r="F61" i="2"/>
  <c r="I61" i="2" s="1"/>
  <c r="D61" i="2"/>
  <c r="E61" i="2" s="1"/>
  <c r="H61" i="2" s="1"/>
  <c r="D62" i="2" l="1"/>
  <c r="G62" i="2"/>
  <c r="F62" i="2"/>
  <c r="I62" i="2"/>
  <c r="E62" i="2" l="1"/>
  <c r="H62" i="2" s="1"/>
  <c r="D63" i="2" l="1"/>
  <c r="G63" i="2"/>
  <c r="F63" i="2"/>
  <c r="I63" i="2" s="1"/>
  <c r="E63" i="2" l="1"/>
  <c r="H63" i="2" s="1"/>
  <c r="G64" i="2" l="1"/>
  <c r="F64" i="2"/>
  <c r="I64" i="2" s="1"/>
  <c r="D64" i="2"/>
  <c r="E64" i="2" s="1"/>
  <c r="H64" i="2" s="1"/>
  <c r="F65" i="2" l="1"/>
  <c r="D65" i="2"/>
  <c r="E65" i="2" s="1"/>
  <c r="G65" i="2"/>
  <c r="H65" i="2" s="1"/>
  <c r="I65" i="2"/>
  <c r="G66" i="2" l="1"/>
  <c r="D66" i="2"/>
  <c r="F66" i="2"/>
  <c r="I66" i="2"/>
  <c r="E66" i="2" l="1"/>
  <c r="H66" i="2" s="1"/>
  <c r="D67" i="2" l="1"/>
  <c r="F67" i="2"/>
  <c r="I67" i="2" s="1"/>
  <c r="G67" i="2"/>
  <c r="E67" i="2" l="1"/>
  <c r="H67" i="2" s="1"/>
  <c r="F68" i="2" l="1"/>
  <c r="I68" i="2" s="1"/>
  <c r="D68" i="2"/>
  <c r="E68" i="2" s="1"/>
  <c r="G68" i="2"/>
  <c r="H68" i="2" s="1"/>
  <c r="G69" i="2" l="1"/>
  <c r="F69" i="2"/>
  <c r="D69" i="2"/>
  <c r="E69" i="2" s="1"/>
  <c r="H69" i="2" s="1"/>
  <c r="I69" i="2"/>
  <c r="F70" i="2" l="1"/>
  <c r="D70" i="2"/>
  <c r="E70" i="2" s="1"/>
  <c r="H70" i="2" s="1"/>
  <c r="G70" i="2"/>
  <c r="I70" i="2"/>
  <c r="D71" i="2" l="1"/>
  <c r="F71" i="2"/>
  <c r="G71" i="2"/>
  <c r="I71" i="2"/>
  <c r="E71" i="2" l="1"/>
  <c r="H71" i="2" s="1"/>
  <c r="F72" i="2" l="1"/>
  <c r="I72" i="2" s="1"/>
  <c r="G72" i="2"/>
  <c r="D72" i="2"/>
  <c r="E72" i="2" s="1"/>
  <c r="H72" i="2" s="1"/>
  <c r="F73" i="2" l="1"/>
  <c r="D73" i="2"/>
  <c r="E73" i="2" s="1"/>
  <c r="G73" i="2"/>
  <c r="H73" i="2"/>
  <c r="I73" i="2"/>
  <c r="G74" i="2" l="1"/>
  <c r="D74" i="2"/>
  <c r="F74" i="2"/>
  <c r="I74" i="2" s="1"/>
  <c r="E74" i="2" l="1"/>
  <c r="H74" i="2" s="1"/>
  <c r="F75" i="2" l="1"/>
  <c r="I75" i="2" s="1"/>
  <c r="G75" i="2"/>
  <c r="D75" i="2"/>
  <c r="E75" i="2" s="1"/>
  <c r="H75" i="2" s="1"/>
  <c r="F76" i="2" l="1"/>
  <c r="G76" i="2"/>
  <c r="D76" i="2"/>
  <c r="E76" i="2" s="1"/>
  <c r="H76" i="2" s="1"/>
  <c r="I76" i="2"/>
  <c r="G77" i="2" l="1"/>
  <c r="F77" i="2"/>
  <c r="D77" i="2"/>
  <c r="E77" i="2" s="1"/>
  <c r="H77" i="2"/>
  <c r="I77" i="2"/>
  <c r="F78" i="2" l="1"/>
  <c r="I78" i="2" s="1"/>
  <c r="G78" i="2"/>
  <c r="D78" i="2"/>
  <c r="E78" i="2" s="1"/>
  <c r="H78" i="2" s="1"/>
  <c r="D79" i="2" l="1"/>
  <c r="G79" i="2"/>
  <c r="F79" i="2"/>
  <c r="I79" i="2"/>
  <c r="E79" i="2" l="1"/>
  <c r="H79" i="2" s="1"/>
  <c r="G80" i="2" l="1"/>
  <c r="F80" i="2"/>
  <c r="I80" i="2" s="1"/>
  <c r="D80" i="2"/>
  <c r="E80" i="2" s="1"/>
  <c r="H80" i="2"/>
  <c r="F81" i="2" l="1"/>
  <c r="G81" i="2"/>
  <c r="D81" i="2"/>
  <c r="E81" i="2" s="1"/>
  <c r="H81" i="2" s="1"/>
  <c r="I81" i="2"/>
  <c r="G82" i="2" l="1"/>
  <c r="D82" i="2"/>
  <c r="F82" i="2"/>
  <c r="I82" i="2"/>
  <c r="E82" i="2" l="1"/>
  <c r="H82" i="2" s="1"/>
  <c r="G83" i="2" l="1"/>
  <c r="F83" i="2"/>
  <c r="I83" i="2" s="1"/>
  <c r="D83" i="2"/>
  <c r="E83" i="2" s="1"/>
  <c r="H83" i="2" s="1"/>
  <c r="F84" i="2" l="1"/>
  <c r="G84" i="2"/>
  <c r="D84" i="2"/>
  <c r="E84" i="2" s="1"/>
  <c r="H84" i="2" s="1"/>
  <c r="I84" i="2"/>
  <c r="G85" i="2" l="1"/>
  <c r="D85" i="2"/>
  <c r="F85" i="2"/>
  <c r="I85" i="2"/>
  <c r="E85" i="2" l="1"/>
  <c r="H85" i="2" s="1"/>
  <c r="G86" i="2" l="1"/>
  <c r="D86" i="2"/>
  <c r="F86" i="2"/>
  <c r="I86" i="2" s="1"/>
  <c r="E86" i="2" l="1"/>
  <c r="H86" i="2" s="1"/>
  <c r="D87" i="2" l="1"/>
  <c r="G87" i="2"/>
  <c r="F87" i="2"/>
  <c r="I87" i="2" s="1"/>
  <c r="E87" i="2" l="1"/>
  <c r="H87" i="2" s="1"/>
  <c r="D88" i="2" l="1"/>
  <c r="F88" i="2"/>
  <c r="I88" i="2" s="1"/>
  <c r="G88" i="2"/>
  <c r="E88" i="2" l="1"/>
  <c r="H88" i="2" s="1"/>
  <c r="F89" i="2" l="1"/>
  <c r="I89" i="2" s="1"/>
  <c r="D89" i="2"/>
  <c r="E89" i="2" s="1"/>
  <c r="H89" i="2" s="1"/>
  <c r="G89" i="2"/>
  <c r="G90" i="2" l="1"/>
  <c r="D90" i="2"/>
  <c r="F90" i="2"/>
  <c r="I90" i="2"/>
  <c r="E90" i="2" l="1"/>
  <c r="H90" i="2" s="1"/>
  <c r="D91" i="2" l="1"/>
  <c r="G91" i="2"/>
  <c r="F91" i="2"/>
  <c r="I91" i="2" s="1"/>
  <c r="E91" i="2" l="1"/>
  <c r="H91" i="2" s="1"/>
  <c r="F92" i="2" l="1"/>
  <c r="I92" i="2" s="1"/>
  <c r="D92" i="2"/>
  <c r="E92" i="2" s="1"/>
  <c r="H92" i="2" s="1"/>
  <c r="G92" i="2"/>
  <c r="G93" i="2" l="1"/>
  <c r="D93" i="2"/>
  <c r="F93" i="2"/>
  <c r="I93" i="2"/>
  <c r="E93" i="2" l="1"/>
  <c r="H93" i="2" s="1"/>
  <c r="D94" i="2" l="1"/>
  <c r="F94" i="2"/>
  <c r="I94" i="2" s="1"/>
  <c r="G94" i="2"/>
  <c r="E94" i="2" l="1"/>
  <c r="H94" i="2" s="1"/>
  <c r="D95" i="2" l="1"/>
  <c r="G95" i="2"/>
  <c r="F95" i="2"/>
  <c r="I95" i="2" s="1"/>
  <c r="E95" i="2" l="1"/>
  <c r="H95" i="2" s="1"/>
  <c r="G96" i="2" l="1"/>
  <c r="D96" i="2"/>
  <c r="F96" i="2"/>
  <c r="I96" i="2" s="1"/>
  <c r="E96" i="2" l="1"/>
  <c r="H96" i="2" s="1"/>
  <c r="F97" i="2" l="1"/>
  <c r="I97" i="2" s="1"/>
  <c r="D97" i="2"/>
  <c r="E97" i="2" s="1"/>
  <c r="H97" i="2" s="1"/>
  <c r="G97" i="2"/>
  <c r="G98" i="2" l="1"/>
  <c r="D98" i="2"/>
  <c r="F98" i="2"/>
  <c r="I98" i="2"/>
  <c r="E98" i="2" l="1"/>
  <c r="H98" i="2" s="1"/>
  <c r="D99" i="2" l="1"/>
  <c r="F99" i="2"/>
  <c r="I99" i="2" s="1"/>
  <c r="G99" i="2"/>
  <c r="E99" i="2" l="1"/>
  <c r="H99" i="2" s="1"/>
  <c r="F100" i="2" l="1"/>
  <c r="I100" i="2" s="1"/>
  <c r="D100" i="2"/>
  <c r="E100" i="2" s="1"/>
  <c r="G100" i="2"/>
  <c r="H100" i="2" s="1"/>
  <c r="G101" i="2" l="1"/>
  <c r="F101" i="2"/>
  <c r="D101" i="2"/>
  <c r="E101" i="2" s="1"/>
  <c r="H101" i="2" s="1"/>
  <c r="I101" i="2"/>
  <c r="D102" i="2" l="1"/>
  <c r="F102" i="2"/>
  <c r="G102" i="2"/>
  <c r="I102" i="2"/>
  <c r="E102" i="2" l="1"/>
  <c r="H102" i="2" s="1"/>
  <c r="D103" i="2" l="1"/>
  <c r="F103" i="2"/>
  <c r="I103" i="2" s="1"/>
  <c r="G103" i="2"/>
  <c r="E103" i="2" l="1"/>
  <c r="H103" i="2" s="1"/>
  <c r="G104" i="2" l="1"/>
  <c r="F104" i="2"/>
  <c r="I104" i="2" s="1"/>
  <c r="D104" i="2"/>
  <c r="E104" i="2" s="1"/>
  <c r="H104" i="2" s="1"/>
  <c r="F105" i="2" l="1"/>
  <c r="G105" i="2"/>
  <c r="D105" i="2"/>
  <c r="E105" i="2" s="1"/>
  <c r="H105" i="2"/>
  <c r="I105" i="2"/>
  <c r="G106" i="2" l="1"/>
  <c r="D106" i="2"/>
  <c r="F106" i="2"/>
  <c r="I106" i="2" s="1"/>
  <c r="E106" i="2" l="1"/>
  <c r="H106" i="2" s="1"/>
  <c r="G107" i="2" l="1"/>
  <c r="F107" i="2"/>
  <c r="I107" i="2" s="1"/>
  <c r="D107" i="2"/>
  <c r="E107" i="2" s="1"/>
  <c r="H107" i="2" s="1"/>
  <c r="F108" i="2" l="1"/>
  <c r="G108" i="2"/>
  <c r="D108" i="2"/>
  <c r="E108" i="2" s="1"/>
  <c r="H108" i="2" s="1"/>
  <c r="I108" i="2"/>
  <c r="G109" i="2" l="1"/>
  <c r="F109" i="2"/>
  <c r="D109" i="2"/>
  <c r="E109" i="2" s="1"/>
  <c r="H109" i="2"/>
  <c r="I109" i="2"/>
  <c r="F110" i="2" l="1"/>
  <c r="I110" i="2" s="1"/>
  <c r="G110" i="2"/>
  <c r="D110" i="2"/>
  <c r="E110" i="2" s="1"/>
  <c r="H110" i="2" s="1"/>
  <c r="G111" i="2" l="1"/>
  <c r="D111" i="2"/>
  <c r="F111" i="2"/>
  <c r="I111" i="2"/>
  <c r="E111" i="2" l="1"/>
  <c r="H111" i="2" s="1"/>
  <c r="G112" i="2" l="1"/>
  <c r="D112" i="2"/>
  <c r="F112" i="2"/>
  <c r="I112" i="2" s="1"/>
  <c r="E112" i="2" l="1"/>
  <c r="H112" i="2" s="1"/>
  <c r="F113" i="2" l="1"/>
  <c r="I113" i="2" s="1"/>
  <c r="D113" i="2"/>
  <c r="G113" i="2"/>
  <c r="E113" i="2" l="1"/>
  <c r="H113" i="2" s="1"/>
  <c r="D114" i="2" l="1"/>
  <c r="G114" i="2"/>
  <c r="F114" i="2"/>
  <c r="I114" i="2" s="1"/>
  <c r="E114" i="2" l="1"/>
  <c r="H114" i="2" s="1"/>
  <c r="G115" i="2" l="1"/>
  <c r="D115" i="2"/>
  <c r="F115" i="2"/>
  <c r="I115" i="2" s="1"/>
  <c r="E115" i="2" l="1"/>
  <c r="H115" i="2" s="1"/>
  <c r="D116" i="2" l="1"/>
  <c r="G116" i="2"/>
  <c r="F116" i="2"/>
  <c r="I116" i="2" s="1"/>
  <c r="E116" i="2" l="1"/>
  <c r="H116" i="2" s="1"/>
  <c r="D117" i="2" l="1"/>
  <c r="G117" i="2"/>
  <c r="F117" i="2"/>
  <c r="I117" i="2" s="1"/>
  <c r="E117" i="2" l="1"/>
  <c r="H117" i="2" s="1"/>
  <c r="F118" i="2" l="1"/>
  <c r="I118" i="2" s="1"/>
  <c r="D118" i="2"/>
  <c r="E118" i="2" s="1"/>
  <c r="H118" i="2" s="1"/>
  <c r="G118" i="2"/>
  <c r="G119" i="2" l="1"/>
  <c r="F119" i="2"/>
  <c r="D119" i="2"/>
  <c r="E119" i="2" s="1"/>
  <c r="H119" i="2" s="1"/>
  <c r="I119" i="2"/>
  <c r="G120" i="2" l="1"/>
  <c r="D120" i="2"/>
  <c r="F120" i="2"/>
  <c r="I120" i="2"/>
  <c r="E120" i="2" l="1"/>
  <c r="H120" i="2" s="1"/>
  <c r="G121" i="2" l="1"/>
  <c r="D121" i="2"/>
  <c r="F121" i="2"/>
  <c r="I121" i="2" s="1"/>
  <c r="E121" i="2" l="1"/>
  <c r="H121" i="2" s="1"/>
  <c r="G122" i="2" l="1"/>
  <c r="F122" i="2"/>
  <c r="I122" i="2" s="1"/>
  <c r="D122" i="2"/>
  <c r="E122" i="2" s="1"/>
  <c r="H122" i="2" s="1"/>
  <c r="D123" i="2" l="1"/>
  <c r="F123" i="2"/>
  <c r="G123" i="2"/>
  <c r="I123" i="2"/>
  <c r="E123" i="2" l="1"/>
  <c r="H123" i="2" s="1"/>
  <c r="D124" i="2" l="1"/>
  <c r="F124" i="2"/>
  <c r="I124" i="2" s="1"/>
  <c r="G124" i="2"/>
  <c r="E124" i="2" l="1"/>
  <c r="H124" i="2" s="1"/>
  <c r="D125" i="2" l="1"/>
  <c r="G125" i="2"/>
  <c r="F125" i="2"/>
  <c r="I125" i="2" s="1"/>
  <c r="E125" i="2" l="1"/>
  <c r="H125" i="2" s="1"/>
  <c r="F126" i="2" l="1"/>
  <c r="I126" i="2" s="1"/>
  <c r="D126" i="2"/>
  <c r="E126" i="2" s="1"/>
  <c r="G126" i="2"/>
  <c r="H126" i="2"/>
  <c r="G127" i="2" l="1"/>
  <c r="F127" i="2"/>
  <c r="D127" i="2"/>
  <c r="E127" i="2" s="1"/>
  <c r="H127" i="2"/>
  <c r="I127" i="2"/>
  <c r="G128" i="2" l="1"/>
  <c r="F128" i="2"/>
  <c r="I128" i="2" s="1"/>
  <c r="D128" i="2"/>
  <c r="E128" i="2" s="1"/>
  <c r="H128" i="2" s="1"/>
  <c r="D129" i="2" l="1"/>
  <c r="G129" i="2"/>
  <c r="F129" i="2"/>
  <c r="I129" i="2"/>
  <c r="E129" i="2" l="1"/>
  <c r="H129" i="2" s="1"/>
  <c r="F130" i="2" l="1"/>
  <c r="I130" i="2" s="1"/>
  <c r="G130" i="2"/>
  <c r="D130" i="2"/>
  <c r="E130" i="2" s="1"/>
  <c r="H130" i="2" s="1"/>
  <c r="D131" i="2" l="1"/>
  <c r="G131" i="2"/>
  <c r="F131" i="2"/>
  <c r="I131" i="2"/>
  <c r="E131" i="2" l="1"/>
  <c r="H131" i="2" s="1"/>
  <c r="D132" i="2" l="1"/>
  <c r="F132" i="2"/>
  <c r="I132" i="2" s="1"/>
  <c r="G132" i="2"/>
  <c r="E132" i="2" l="1"/>
  <c r="H132" i="2" s="1"/>
  <c r="D133" i="2" l="1"/>
  <c r="F133" i="2"/>
  <c r="I133" i="2" s="1"/>
  <c r="G133" i="2"/>
  <c r="E133" i="2" l="1"/>
  <c r="H133" i="2" s="1"/>
  <c r="F134" i="2" l="1"/>
  <c r="I134" i="2" s="1"/>
  <c r="G134" i="2"/>
  <c r="D134" i="2"/>
  <c r="E134" i="2" s="1"/>
  <c r="H134" i="2" s="1"/>
  <c r="G135" i="2" l="1"/>
  <c r="F135" i="2"/>
  <c r="D135" i="2"/>
  <c r="E135" i="2" s="1"/>
  <c r="H135" i="2"/>
  <c r="I135" i="2"/>
  <c r="G136" i="2" l="1"/>
  <c r="F136" i="2"/>
  <c r="I136" i="2" s="1"/>
  <c r="D136" i="2"/>
  <c r="E136" i="2" s="1"/>
  <c r="H136" i="2" s="1"/>
  <c r="D137" i="2" l="1"/>
  <c r="G137" i="2"/>
  <c r="F137" i="2"/>
  <c r="I137" i="2"/>
  <c r="E137" i="2" l="1"/>
  <c r="H137" i="2" s="1"/>
  <c r="F138" i="2" l="1"/>
  <c r="I138" i="2" s="1"/>
  <c r="G138" i="2"/>
  <c r="D138" i="2"/>
  <c r="E138" i="2" s="1"/>
  <c r="H138" i="2" s="1"/>
  <c r="F139" i="2" l="1"/>
  <c r="D139" i="2"/>
  <c r="E139" i="2" s="1"/>
  <c r="G139" i="2"/>
  <c r="H139" i="2" s="1"/>
  <c r="I139" i="2"/>
  <c r="D140" i="2" l="1"/>
  <c r="G140" i="2"/>
  <c r="F140" i="2"/>
  <c r="I140" i="2"/>
  <c r="E140" i="2" l="1"/>
  <c r="H140" i="2" s="1"/>
  <c r="D141" i="2" l="1"/>
  <c r="G141" i="2"/>
  <c r="F141" i="2"/>
  <c r="I141" i="2" s="1"/>
  <c r="E141" i="2" l="1"/>
  <c r="H141" i="2" s="1"/>
  <c r="F142" i="2" l="1"/>
  <c r="I142" i="2" s="1"/>
  <c r="G142" i="2"/>
  <c r="D142" i="2"/>
  <c r="E142" i="2" s="1"/>
  <c r="H142" i="2" s="1"/>
  <c r="G143" i="2" l="1"/>
  <c r="D143" i="2"/>
  <c r="F143" i="2"/>
  <c r="I143" i="2"/>
  <c r="E143" i="2" l="1"/>
  <c r="H143" i="2" s="1"/>
  <c r="D144" i="2" l="1"/>
  <c r="F144" i="2"/>
  <c r="I144" i="2" s="1"/>
  <c r="G144" i="2"/>
  <c r="E144" i="2" l="1"/>
  <c r="H144" i="2" s="1"/>
  <c r="D145" i="2" l="1"/>
  <c r="F145" i="2"/>
  <c r="I145" i="2" s="1"/>
  <c r="G145" i="2"/>
  <c r="E145" i="2" l="1"/>
  <c r="H145" i="2" s="1"/>
  <c r="G146" i="2" l="1"/>
  <c r="D146" i="2"/>
  <c r="F146" i="2"/>
  <c r="I146" i="2" s="1"/>
  <c r="E146" i="2" l="1"/>
  <c r="H146" i="2" s="1"/>
  <c r="F147" i="2" l="1"/>
  <c r="I147" i="2" s="1"/>
  <c r="D147" i="2"/>
  <c r="E147" i="2" s="1"/>
  <c r="G147" i="2"/>
  <c r="H147" i="2" s="1"/>
  <c r="G148" i="2" l="1"/>
  <c r="D148" i="2"/>
  <c r="F148" i="2"/>
  <c r="I148" i="2"/>
  <c r="E148" i="2" l="1"/>
  <c r="H148" i="2" s="1"/>
  <c r="G149" i="2" l="1"/>
  <c r="D149" i="2"/>
  <c r="F149" i="2"/>
  <c r="I149" i="2" s="1"/>
  <c r="E149" i="2" l="1"/>
  <c r="H149" i="2" s="1"/>
  <c r="F150" i="2" l="1"/>
  <c r="I150" i="2" s="1"/>
  <c r="G150" i="2"/>
  <c r="D150" i="2"/>
  <c r="E150" i="2" s="1"/>
  <c r="H150" i="2" s="1"/>
  <c r="G151" i="2" l="1"/>
  <c r="D151" i="2"/>
  <c r="F151" i="2"/>
  <c r="I151" i="2"/>
  <c r="E151" i="2" l="1"/>
  <c r="H151" i="2" s="1"/>
  <c r="G152" i="2" l="1"/>
  <c r="F152" i="2"/>
  <c r="I152" i="2" s="1"/>
  <c r="D152" i="2"/>
  <c r="E152" i="2" s="1"/>
  <c r="H152" i="2" s="1"/>
  <c r="D153" i="2" l="1"/>
  <c r="F153" i="2"/>
  <c r="G153" i="2"/>
  <c r="I153" i="2"/>
  <c r="E153" i="2" l="1"/>
  <c r="H153" i="2" s="1"/>
  <c r="F154" i="2" l="1"/>
  <c r="I154" i="2" s="1"/>
  <c r="D154" i="2"/>
  <c r="E154" i="2" s="1"/>
  <c r="G154" i="2"/>
  <c r="H154" i="2"/>
  <c r="F155" i="2" l="1"/>
  <c r="D155" i="2"/>
  <c r="E155" i="2" s="1"/>
  <c r="H155" i="2" s="1"/>
  <c r="G155" i="2"/>
  <c r="I155" i="2"/>
  <c r="G156" i="2" l="1"/>
  <c r="D156" i="2"/>
  <c r="F156" i="2"/>
  <c r="I156" i="2"/>
  <c r="E156" i="2" l="1"/>
  <c r="H156" i="2" s="1"/>
  <c r="F157" i="2" l="1"/>
  <c r="I157" i="2" s="1"/>
  <c r="D157" i="2"/>
  <c r="E157" i="2" s="1"/>
  <c r="H157" i="2" s="1"/>
  <c r="G157" i="2"/>
  <c r="F158" i="2" l="1"/>
  <c r="G158" i="2"/>
  <c r="D158" i="2"/>
  <c r="E158" i="2" s="1"/>
  <c r="H158" i="2" s="1"/>
  <c r="I158" i="2"/>
  <c r="G159" i="2" l="1"/>
  <c r="F159" i="2"/>
  <c r="D159" i="2"/>
  <c r="E159" i="2" s="1"/>
  <c r="H159" i="2" s="1"/>
  <c r="I159" i="2"/>
  <c r="F160" i="2" l="1"/>
  <c r="G160" i="2"/>
  <c r="D160" i="2"/>
  <c r="E160" i="2" s="1"/>
  <c r="H160" i="2" s="1"/>
  <c r="I160" i="2"/>
  <c r="D161" i="2" l="1"/>
  <c r="F161" i="2"/>
  <c r="G161" i="2"/>
  <c r="I161" i="2"/>
  <c r="E161" i="2" l="1"/>
  <c r="H161" i="2" s="1"/>
  <c r="G162" i="2" l="1"/>
  <c r="F162" i="2"/>
  <c r="I162" i="2" s="1"/>
  <c r="D162" i="2"/>
  <c r="E162" i="2" s="1"/>
  <c r="H162" i="2"/>
  <c r="F163" i="2" l="1"/>
  <c r="G163" i="2"/>
  <c r="D163" i="2"/>
  <c r="E163" i="2" s="1"/>
  <c r="H163" i="2"/>
  <c r="I163" i="2"/>
  <c r="G164" i="2" l="1"/>
  <c r="D164" i="2"/>
  <c r="F164" i="2"/>
  <c r="I164" i="2" s="1"/>
  <c r="E164" i="2" l="1"/>
  <c r="H164" i="2" s="1"/>
  <c r="F165" i="2" l="1"/>
  <c r="I165" i="2" s="1"/>
  <c r="D165" i="2"/>
  <c r="E165" i="2" s="1"/>
  <c r="H165" i="2" s="1"/>
  <c r="G165" i="2"/>
  <c r="F166" i="2" l="1"/>
  <c r="G166" i="2"/>
  <c r="D166" i="2"/>
  <c r="E166" i="2" s="1"/>
  <c r="H166" i="2" s="1"/>
  <c r="I166" i="2"/>
  <c r="G167" i="2" l="1"/>
  <c r="F167" i="2"/>
  <c r="D167" i="2"/>
  <c r="E167" i="2" s="1"/>
  <c r="H167" i="2" s="1"/>
  <c r="I167" i="2"/>
  <c r="D168" i="2" l="1"/>
  <c r="G168" i="2"/>
  <c r="F168" i="2"/>
  <c r="I168" i="2"/>
  <c r="E168" i="2" l="1"/>
  <c r="H168" i="2" s="1"/>
  <c r="D169" i="2" l="1"/>
  <c r="G169" i="2"/>
  <c r="F169" i="2"/>
  <c r="I169" i="2" s="1"/>
  <c r="E169" i="2" l="1"/>
  <c r="H169" i="2" s="1"/>
  <c r="G170" i="2" l="1"/>
  <c r="F170" i="2"/>
  <c r="I170" i="2" s="1"/>
  <c r="D170" i="2"/>
  <c r="E170" i="2" s="1"/>
  <c r="H170" i="2"/>
  <c r="G171" i="2" l="1"/>
  <c r="D171" i="2"/>
  <c r="F171" i="2"/>
  <c r="I171" i="2"/>
  <c r="E171" i="2" l="1"/>
  <c r="H171" i="2" s="1"/>
  <c r="F172" i="2" l="1"/>
  <c r="I172" i="2" s="1"/>
  <c r="D172" i="2"/>
  <c r="E172" i="2" s="1"/>
  <c r="H172" i="2" s="1"/>
  <c r="G172" i="2"/>
  <c r="D173" i="2" l="1"/>
  <c r="G173" i="2"/>
  <c r="F173" i="2"/>
  <c r="I173" i="2"/>
  <c r="E173" i="2" l="1"/>
  <c r="H173" i="2" s="1"/>
  <c r="D174" i="2" l="1"/>
  <c r="G174" i="2"/>
  <c r="F174" i="2"/>
  <c r="I174" i="2" s="1"/>
  <c r="E174" i="2" l="1"/>
  <c r="H174" i="2" s="1"/>
  <c r="F175" i="2" l="1"/>
  <c r="I175" i="2" s="1"/>
  <c r="G175" i="2"/>
  <c r="D175" i="2"/>
  <c r="E175" i="2" s="1"/>
  <c r="H175" i="2" s="1"/>
  <c r="G176" i="2" l="1"/>
  <c r="F176" i="2"/>
  <c r="D176" i="2"/>
  <c r="E176" i="2" s="1"/>
  <c r="H176" i="2"/>
  <c r="I176" i="2"/>
  <c r="G177" i="2" l="1"/>
  <c r="F177" i="2"/>
  <c r="I177" i="2" s="1"/>
  <c r="D177" i="2"/>
  <c r="E177" i="2" s="1"/>
  <c r="H177" i="2" s="1"/>
  <c r="D178" i="2" l="1"/>
  <c r="G178" i="2"/>
  <c r="F178" i="2"/>
  <c r="I178" i="2"/>
  <c r="E178" i="2" l="1"/>
  <c r="H178" i="2" s="1"/>
  <c r="F179" i="2" l="1"/>
  <c r="I179" i="2" s="1"/>
  <c r="D179" i="2"/>
  <c r="E179" i="2" s="1"/>
  <c r="H179" i="2" s="1"/>
  <c r="G179" i="2"/>
  <c r="G180" i="2" l="1"/>
  <c r="D180" i="2"/>
  <c r="F180" i="2"/>
  <c r="I180" i="2"/>
  <c r="E180" i="2" l="1"/>
  <c r="H180" i="2" s="1"/>
  <c r="D181" i="2" l="1"/>
  <c r="G181" i="2"/>
  <c r="F181" i="2"/>
  <c r="I181" i="2" s="1"/>
  <c r="E181" i="2" l="1"/>
  <c r="H181" i="2" s="1"/>
  <c r="F182" i="2" l="1"/>
  <c r="I182" i="2" s="1"/>
  <c r="G182" i="2"/>
  <c r="D182" i="2"/>
  <c r="E182" i="2" s="1"/>
  <c r="H182" i="2" s="1"/>
  <c r="F183" i="2" l="1"/>
  <c r="G183" i="2"/>
  <c r="D183" i="2"/>
  <c r="E183" i="2" s="1"/>
  <c r="H183" i="2"/>
  <c r="I183" i="2"/>
  <c r="G184" i="2" l="1"/>
  <c r="D184" i="2"/>
  <c r="F184" i="2"/>
  <c r="I184" i="2" s="1"/>
  <c r="E184" i="2" l="1"/>
  <c r="H184" i="2" s="1"/>
  <c r="F185" i="2" l="1"/>
  <c r="I185" i="2" s="1"/>
  <c r="D185" i="2"/>
  <c r="E185" i="2" s="1"/>
  <c r="H185" i="2" s="1"/>
  <c r="G185" i="2"/>
  <c r="G186" i="2" l="1"/>
  <c r="F186" i="2"/>
  <c r="D186" i="2"/>
  <c r="E186" i="2" s="1"/>
  <c r="H186" i="2" s="1"/>
  <c r="I186" i="2"/>
  <c r="G187" i="2" l="1"/>
  <c r="D187" i="2"/>
  <c r="F187" i="2"/>
  <c r="I187" i="2"/>
  <c r="E187" i="2" l="1"/>
  <c r="H187" i="2" s="1"/>
  <c r="G188" i="2" l="1"/>
  <c r="D188" i="2"/>
  <c r="F188" i="2"/>
  <c r="I188" i="2" s="1"/>
  <c r="E188" i="2" l="1"/>
  <c r="H188" i="2" s="1"/>
  <c r="D189" i="2" l="1"/>
  <c r="E189" i="2" s="1"/>
  <c r="H189" i="2" s="1"/>
  <c r="G189" i="2"/>
  <c r="F189" i="2"/>
  <c r="I189" i="2" s="1"/>
  <c r="G190" i="2" l="1"/>
  <c r="F190" i="2"/>
  <c r="D190" i="2"/>
  <c r="E190" i="2" s="1"/>
  <c r="H190" i="2" s="1"/>
  <c r="I190" i="2"/>
  <c r="F191" i="2" l="1"/>
  <c r="I191" i="2" s="1"/>
  <c r="D191" i="2"/>
  <c r="E191" i="2" s="1"/>
  <c r="H191" i="2" s="1"/>
  <c r="G191" i="2"/>
  <c r="G192" i="2" l="1"/>
  <c r="F192" i="2"/>
  <c r="D192" i="2"/>
  <c r="E192" i="2" s="1"/>
  <c r="H192" i="2"/>
  <c r="I192" i="2"/>
  <c r="F193" i="2" l="1"/>
  <c r="I193" i="2" s="1"/>
  <c r="G193" i="2"/>
  <c r="D193" i="2"/>
  <c r="E193" i="2" s="1"/>
  <c r="H193" i="2" s="1"/>
  <c r="G194" i="2" l="1"/>
  <c r="H194" i="2" s="1"/>
  <c r="F194" i="2"/>
  <c r="D194" i="2"/>
  <c r="E194" i="2" s="1"/>
  <c r="I194" i="2"/>
  <c r="D195" i="2" l="1"/>
  <c r="F195" i="2"/>
  <c r="I195" i="2" s="1"/>
  <c r="G195" i="2"/>
  <c r="E195" i="2" l="1"/>
  <c r="H195" i="2" s="1"/>
  <c r="F196" i="2" l="1"/>
  <c r="I196" i="2" s="1"/>
  <c r="D196" i="2"/>
  <c r="E196" i="2" s="1"/>
  <c r="G196" i="2"/>
  <c r="H196" i="2" s="1"/>
  <c r="D197" i="2" l="1"/>
  <c r="F197" i="2"/>
  <c r="G197" i="2"/>
  <c r="I197" i="2"/>
  <c r="E197" i="2" l="1"/>
  <c r="H197" i="2" s="1"/>
  <c r="G198" i="2" l="1"/>
  <c r="F198" i="2"/>
  <c r="I198" i="2" s="1"/>
  <c r="D198" i="2"/>
  <c r="E198" i="2" s="1"/>
  <c r="H198" i="2" s="1"/>
  <c r="F199" i="2" l="1"/>
  <c r="D199" i="2"/>
  <c r="E199" i="2" s="1"/>
  <c r="G199" i="2"/>
  <c r="H199" i="2" s="1"/>
  <c r="I199" i="2"/>
  <c r="G200" i="2" l="1"/>
  <c r="F200" i="2"/>
  <c r="D200" i="2"/>
  <c r="E200" i="2" s="1"/>
  <c r="H200" i="2" s="1"/>
  <c r="I200" i="2"/>
  <c r="G201" i="2" l="1"/>
  <c r="D201" i="2"/>
  <c r="F201" i="2"/>
  <c r="I201" i="2"/>
  <c r="E201" i="2" l="1"/>
  <c r="H201" i="2" s="1"/>
  <c r="G202" i="2" l="1"/>
  <c r="F202" i="2"/>
  <c r="I202" i="2" s="1"/>
  <c r="D202" i="2"/>
  <c r="E202" i="2" s="1"/>
  <c r="H202" i="2"/>
  <c r="F203" i="2" l="1"/>
  <c r="G203" i="2"/>
  <c r="D203" i="2"/>
  <c r="E203" i="2" s="1"/>
  <c r="H203" i="2" s="1"/>
  <c r="I203" i="2"/>
  <c r="G204" i="2" l="1"/>
  <c r="F204" i="2"/>
  <c r="D204" i="2"/>
  <c r="E204" i="2" s="1"/>
  <c r="H204" i="2"/>
  <c r="I204" i="2"/>
  <c r="D205" i="2" l="1"/>
  <c r="G205" i="2"/>
  <c r="F205" i="2"/>
  <c r="I205" i="2" s="1"/>
  <c r="E205" i="2" l="1"/>
  <c r="H205" i="2" s="1"/>
  <c r="G206" i="2" l="1"/>
  <c r="F206" i="2"/>
  <c r="I206" i="2" s="1"/>
  <c r="D206" i="2"/>
  <c r="E206" i="2" s="1"/>
  <c r="H206" i="2" s="1"/>
  <c r="F207" i="2" l="1"/>
  <c r="G207" i="2"/>
  <c r="D207" i="2"/>
  <c r="E207" i="2" s="1"/>
  <c r="H207" i="2" s="1"/>
  <c r="I207" i="2"/>
  <c r="G208" i="2" l="1"/>
  <c r="D208" i="2"/>
  <c r="F208" i="2"/>
  <c r="I208" i="2"/>
  <c r="E208" i="2" l="1"/>
  <c r="H208" i="2" s="1"/>
  <c r="F209" i="2" l="1"/>
  <c r="I209" i="2" s="1"/>
  <c r="D209" i="2"/>
  <c r="E209" i="2" s="1"/>
  <c r="H209" i="2" s="1"/>
  <c r="G209" i="2"/>
  <c r="F210" i="2" l="1"/>
  <c r="D210" i="2"/>
  <c r="E210" i="2" s="1"/>
  <c r="H210" i="2" s="1"/>
  <c r="G210" i="2"/>
  <c r="I210" i="2"/>
  <c r="G211" i="2" l="1"/>
  <c r="F211" i="2"/>
  <c r="D211" i="2"/>
  <c r="E211" i="2" s="1"/>
  <c r="H211" i="2" s="1"/>
  <c r="I211" i="2"/>
  <c r="D212" i="2" l="1"/>
  <c r="G212" i="2"/>
  <c r="F212" i="2"/>
  <c r="I212" i="2"/>
  <c r="E212" i="2" l="1"/>
  <c r="H212" i="2" s="1"/>
  <c r="D213" i="2" l="1"/>
  <c r="F213" i="2"/>
  <c r="I213" i="2" s="1"/>
  <c r="G213" i="2"/>
  <c r="E213" i="2" l="1"/>
  <c r="H213" i="2" s="1"/>
  <c r="F214" i="2" l="1"/>
  <c r="I214" i="2" s="1"/>
  <c r="D214" i="2"/>
  <c r="E214" i="2" s="1"/>
  <c r="H214" i="2" s="1"/>
  <c r="G214" i="2"/>
  <c r="F215" i="2" l="1"/>
  <c r="G215" i="2"/>
  <c r="D215" i="2"/>
  <c r="E215" i="2" s="1"/>
  <c r="H215" i="2" s="1"/>
  <c r="I215" i="2"/>
  <c r="G216" i="2" l="1"/>
  <c r="D216" i="2"/>
  <c r="F216" i="2"/>
  <c r="I216" i="2"/>
  <c r="E216" i="2" l="1"/>
  <c r="H216" i="2" s="1"/>
  <c r="G217" i="2" l="1"/>
  <c r="F217" i="2"/>
  <c r="I217" i="2" s="1"/>
  <c r="D217" i="2"/>
  <c r="E217" i="2" s="1"/>
  <c r="H217" i="2" s="1"/>
  <c r="G218" i="2" l="1"/>
  <c r="D218" i="2"/>
  <c r="F218" i="2"/>
  <c r="I218" i="2"/>
  <c r="E218" i="2" l="1"/>
  <c r="H218" i="2" s="1"/>
  <c r="G219" i="2" l="1"/>
  <c r="F219" i="2"/>
  <c r="I219" i="2" s="1"/>
  <c r="D219" i="2"/>
  <c r="E219" i="2" s="1"/>
  <c r="H219" i="2"/>
  <c r="D220" i="2" l="1"/>
  <c r="G220" i="2"/>
  <c r="F220" i="2"/>
  <c r="I220" i="2"/>
  <c r="E220" i="2" l="1"/>
  <c r="H220" i="2" s="1"/>
  <c r="D221" i="2" l="1"/>
  <c r="F221" i="2"/>
  <c r="I221" i="2" s="1"/>
  <c r="G221" i="2"/>
  <c r="E221" i="2" l="1"/>
  <c r="H221" i="2" s="1"/>
  <c r="G222" i="2" l="1"/>
  <c r="D222" i="2"/>
  <c r="F222" i="2"/>
  <c r="I222" i="2" s="1"/>
  <c r="E222" i="2" l="1"/>
  <c r="H222" i="2" s="1"/>
  <c r="F223" i="2" l="1"/>
  <c r="I223" i="2" s="1"/>
  <c r="G223" i="2"/>
  <c r="D223" i="2"/>
  <c r="E223" i="2" s="1"/>
  <c r="H223" i="2" s="1"/>
  <c r="G224" i="2" l="1"/>
  <c r="D224" i="2"/>
  <c r="F224" i="2"/>
  <c r="I224" i="2"/>
  <c r="E224" i="2" l="1"/>
  <c r="H224" i="2" s="1"/>
  <c r="D225" i="2" l="1"/>
  <c r="G225" i="2"/>
  <c r="F225" i="2"/>
  <c r="I225" i="2" s="1"/>
  <c r="E225" i="2" l="1"/>
  <c r="H225" i="2" s="1"/>
  <c r="F226" i="2" l="1"/>
  <c r="I226" i="2" s="1"/>
  <c r="D226" i="2"/>
  <c r="E226" i="2" s="1"/>
  <c r="H226" i="2" s="1"/>
  <c r="G226" i="2"/>
  <c r="F227" i="2" l="1"/>
  <c r="G227" i="2"/>
  <c r="D227" i="2"/>
  <c r="E227" i="2" s="1"/>
  <c r="H227" i="2" s="1"/>
  <c r="I227" i="2"/>
  <c r="G228" i="2" l="1"/>
  <c r="F228" i="2"/>
  <c r="D228" i="2"/>
  <c r="I228" i="2"/>
  <c r="E228" i="2" l="1"/>
  <c r="H228" i="2" s="1"/>
  <c r="D229" i="2" l="1"/>
  <c r="G229" i="2"/>
  <c r="F229" i="2"/>
  <c r="I229" i="2" s="1"/>
  <c r="E229" i="2" l="1"/>
  <c r="H229" i="2" s="1"/>
  <c r="F230" i="2" l="1"/>
  <c r="I230" i="2" s="1"/>
  <c r="G230" i="2"/>
  <c r="D230" i="2"/>
  <c r="E230" i="2" s="1"/>
  <c r="H230" i="2" s="1"/>
  <c r="F231" i="2" l="1"/>
  <c r="D231" i="2"/>
  <c r="E231" i="2" s="1"/>
  <c r="H231" i="2" s="1"/>
  <c r="G231" i="2"/>
  <c r="I231" i="2"/>
  <c r="G232" i="2" l="1"/>
  <c r="F232" i="2"/>
  <c r="D232" i="2"/>
  <c r="E232" i="2" s="1"/>
  <c r="H232" i="2" s="1"/>
  <c r="I232" i="2"/>
  <c r="G233" i="2" l="1"/>
  <c r="F233" i="2"/>
  <c r="D233" i="2"/>
  <c r="E233" i="2" s="1"/>
  <c r="H233" i="2" s="1"/>
  <c r="I233" i="2"/>
  <c r="G234" i="2" l="1"/>
  <c r="F234" i="2"/>
  <c r="D234" i="2"/>
  <c r="E234" i="2" s="1"/>
  <c r="H234" i="2" s="1"/>
  <c r="I234" i="2"/>
  <c r="G235" i="2" l="1"/>
  <c r="D235" i="2"/>
  <c r="F235" i="2"/>
  <c r="I235" i="2"/>
  <c r="E235" i="2" l="1"/>
  <c r="H235" i="2" s="1"/>
  <c r="G236" i="2" l="1"/>
  <c r="F236" i="2"/>
  <c r="I236" i="2" s="1"/>
  <c r="D236" i="2"/>
  <c r="E236" i="2" s="1"/>
  <c r="H236" i="2" s="1"/>
  <c r="D237" i="2" l="1"/>
  <c r="G237" i="2"/>
  <c r="F237" i="2"/>
  <c r="I237" i="2"/>
  <c r="E237" i="2" l="1"/>
  <c r="H237" i="2" s="1"/>
  <c r="D238" i="2" l="1"/>
  <c r="G238" i="2"/>
  <c r="F238" i="2"/>
  <c r="I238" i="2" s="1"/>
  <c r="E238" i="2" l="1"/>
  <c r="H238" i="2" s="1"/>
  <c r="F239" i="2" l="1"/>
  <c r="I239" i="2" s="1"/>
  <c r="G239" i="2"/>
  <c r="D239" i="2"/>
  <c r="E239" i="2" s="1"/>
  <c r="H239" i="2"/>
  <c r="G240" i="2" l="1"/>
  <c r="F240" i="2"/>
  <c r="D240" i="2"/>
  <c r="E240" i="2" s="1"/>
  <c r="H240" i="2" s="1"/>
  <c r="I240" i="2"/>
  <c r="G241" i="2" l="1"/>
  <c r="D241" i="2"/>
  <c r="F241" i="2"/>
  <c r="I241" i="2"/>
  <c r="E241" i="2" l="1"/>
  <c r="H241" i="2" s="1"/>
  <c r="D242" i="2" l="1"/>
  <c r="G242" i="2"/>
  <c r="F242" i="2"/>
  <c r="I242" i="2" s="1"/>
  <c r="E242" i="2" l="1"/>
  <c r="H242" i="2" s="1"/>
  <c r="F243" i="2" l="1"/>
  <c r="I243" i="2" s="1"/>
  <c r="D243" i="2"/>
  <c r="E243" i="2" s="1"/>
  <c r="G243" i="2"/>
  <c r="H243" i="2" s="1"/>
  <c r="F244" i="2" l="1"/>
  <c r="D244" i="2"/>
  <c r="E244" i="2" s="1"/>
  <c r="H244" i="2" s="1"/>
  <c r="G244" i="2"/>
  <c r="I244" i="2"/>
  <c r="D245" i="2" l="1"/>
  <c r="F245" i="2"/>
  <c r="G245" i="2"/>
  <c r="I245" i="2"/>
  <c r="E245" i="2" l="1"/>
  <c r="H245" i="2" s="1"/>
  <c r="D246" i="2" l="1"/>
  <c r="F246" i="2"/>
  <c r="I246" i="2" s="1"/>
  <c r="G246" i="2"/>
  <c r="E246" i="2" l="1"/>
  <c r="H246" i="2" s="1"/>
  <c r="F247" i="2" l="1"/>
  <c r="I247" i="2" s="1"/>
  <c r="G247" i="2"/>
  <c r="D247" i="2"/>
  <c r="E247" i="2" s="1"/>
  <c r="H247" i="2" s="1"/>
  <c r="D248" i="2" l="1"/>
  <c r="G248" i="2"/>
  <c r="F248" i="2"/>
  <c r="I248" i="2"/>
  <c r="E248" i="2" l="1"/>
  <c r="H248" i="2" s="1"/>
  <c r="D249" i="2" l="1"/>
  <c r="G249" i="2"/>
  <c r="F249" i="2"/>
  <c r="I249" i="2" s="1"/>
  <c r="E249" i="2" l="1"/>
  <c r="H249" i="2" s="1"/>
  <c r="F250" i="2" l="1"/>
  <c r="I250" i="2" s="1"/>
  <c r="G250" i="2"/>
  <c r="D250" i="2"/>
  <c r="E250" i="2" s="1"/>
  <c r="H250" i="2" s="1"/>
  <c r="G251" i="2" l="1"/>
  <c r="G252" i="2" s="1"/>
  <c r="F251" i="2"/>
  <c r="F252" i="2" s="1"/>
  <c r="D251" i="2"/>
  <c r="I251" i="2"/>
  <c r="E251" i="2" l="1"/>
  <c r="D252" i="2"/>
  <c r="E252" i="2" l="1"/>
  <c r="H251" i="2"/>
</calcChain>
</file>

<file path=xl/sharedStrings.xml><?xml version="1.0" encoding="utf-8"?>
<sst xmlns="http://schemas.openxmlformats.org/spreadsheetml/2006/main" count="229" uniqueCount="192">
  <si>
    <t>🏠  HOME LOAN EMI CALCULATOR WITH PREPAYMENT OPTION</t>
  </si>
  <si>
    <t>Plan Your Home Loan Smartly | Powered by Excel Financial Formulas</t>
  </si>
  <si>
    <t xml:space="preserve">  📝  LOAN DETAILS (Enter Your Values Below)</t>
  </si>
  <si>
    <t xml:space="preserve">  📊  CALCULATED RESULTS</t>
  </si>
  <si>
    <t>Loan Amount (₹)</t>
  </si>
  <si>
    <t>Monthly EMI (₹)</t>
  </si>
  <si>
    <t>Annual Interest Rate (%)</t>
  </si>
  <si>
    <t>Total Interest Payable (₹)</t>
  </si>
  <si>
    <t>Loan Tenure (Years)</t>
  </si>
  <si>
    <t>Total Loan Payment (₹)</t>
  </si>
  <si>
    <t>Loan Start Date</t>
  </si>
  <si>
    <t>Loan End Date</t>
  </si>
  <si>
    <t>Prepayment Amount (₹)</t>
  </si>
  <si>
    <t>Interest to Principal Ratio</t>
  </si>
  <si>
    <t>Prepayment Frequency</t>
  </si>
  <si>
    <t>Yearly</t>
  </si>
  <si>
    <t>Effective Annual Rate (%)</t>
  </si>
  <si>
    <t xml:space="preserve">  💰  PREPAYMENT IMPACT SUMMARY</t>
  </si>
  <si>
    <t>Total Interest WITHOUT Prepayment (₹)</t>
  </si>
  <si>
    <t>Total Interest WITH Prepayment (₹)</t>
  </si>
  <si>
    <t>Total Interest Saved (₹)</t>
  </si>
  <si>
    <t>Approximate Months Saved</t>
  </si>
  <si>
    <t xml:space="preserve">  🔵 Blue = User Input   |   ⚫ Black = Calculated Formula   |   🟡 Yellow Background = Input Cells</t>
  </si>
  <si>
    <t xml:space="preserve">  ℹ  Navigate to other sheets: Amortization | Prepayment Calc | Comparison | Strategy | Examples | Guide</t>
  </si>
  <si>
    <t>📋  COMPLETE AMORTIZATION SCHEDULE</t>
  </si>
  <si>
    <t>Dynamically linked to EMI Calculator sheet — change inputs there to update this table</t>
  </si>
  <si>
    <t xml:space="preserve">  Loan Parameters (Auto-linked from EMI Calculator)</t>
  </si>
  <si>
    <t>Interest Rate (%)</t>
  </si>
  <si>
    <t>Tenure (Years)</t>
  </si>
  <si>
    <t>Start Date</t>
  </si>
  <si>
    <t>Prepayment</t>
  </si>
  <si>
    <t>Prepayment Freq</t>
  </si>
  <si>
    <t>#</t>
  </si>
  <si>
    <t>Payment Date</t>
  </si>
  <si>
    <t>EMI (₹)</t>
  </si>
  <si>
    <t>Principal (₹)</t>
  </si>
  <si>
    <t>Interest (₹)</t>
  </si>
  <si>
    <t>Prepayment (₹)</t>
  </si>
  <si>
    <t>Balance (₹)</t>
  </si>
  <si>
    <t>Cumul. Interest (₹)</t>
  </si>
  <si>
    <t>TOTALS</t>
  </si>
  <si>
    <t>💸  PREPAYMENT IMPACT CALCULATOR</t>
  </si>
  <si>
    <t xml:space="preserve">  📥  BASE LOAN INPUTS (linked from EMI Calculator)</t>
  </si>
  <si>
    <t>Annual Rate (%)</t>
  </si>
  <si>
    <t xml:space="preserve">  📝  PREPAYMENT INPUTS (Enter Here)</t>
  </si>
  <si>
    <t>After How Many Months?</t>
  </si>
  <si>
    <t>Prepayment Type</t>
  </si>
  <si>
    <t>One-time</t>
  </si>
  <si>
    <t xml:space="preserve">  📊  RESULTS WITHOUT PREPAYMENT</t>
  </si>
  <si>
    <t xml:space="preserve">  📊  RESULTS WITH PREPAYMENT</t>
  </si>
  <si>
    <t>Total EMI Payments</t>
  </si>
  <si>
    <t>Approx. New Tenure (Months)</t>
  </si>
  <si>
    <t>Total Amount Paid (₹)</t>
  </si>
  <si>
    <t>Total Interest Paid (₹)</t>
  </si>
  <si>
    <t>Original Loan End (Months)</t>
  </si>
  <si>
    <t>Months Saved</t>
  </si>
  <si>
    <t xml:space="preserve">  ✅  SAVINGS SUMMARY</t>
  </si>
  <si>
    <t>Interest Saved (₹)</t>
  </si>
  <si>
    <t>Time Saved (Months)</t>
  </si>
  <si>
    <t>Effective Saving %</t>
  </si>
  <si>
    <t>⚖️  LOAN SCENARIO COMPARISON TOOL</t>
  </si>
  <si>
    <t>Parameter</t>
  </si>
  <si>
    <t>Scenario A: Normal Loan</t>
  </si>
  <si>
    <t>Scenario B: With Prepayment</t>
  </si>
  <si>
    <t>Difference (B-A)</t>
  </si>
  <si>
    <t>Total EMI Payments (₹)</t>
  </si>
  <si>
    <t>Loan Tenure (Months)</t>
  </si>
  <si>
    <t>—</t>
  </si>
  <si>
    <t>💡  VERDICT: Scenario B (With Prepayment) SAVES more interest and reduces loan tenure significantly!</t>
  </si>
  <si>
    <t>🎯  PREPAYMENT STRATEGY SIMULATOR</t>
  </si>
  <si>
    <t>Compare 3 prepayment strategies to find which saves you the most money</t>
  </si>
  <si>
    <t xml:space="preserve">  📝  STRATEGY INPUTS</t>
  </si>
  <si>
    <t>Base Loan Amount (₹)</t>
  </si>
  <si>
    <t>Extra Monthly Amount (₹) - Strategy 1</t>
  </si>
  <si>
    <t>Annual Lump Sum (₹) - Strategy 2</t>
  </si>
  <si>
    <t>One-time Large Prepayment (₹) - Strategy 3</t>
  </si>
  <si>
    <t xml:space="preserve">  📊  STRATEGY COMPARISON RESULTS</t>
  </si>
  <si>
    <t>Metric</t>
  </si>
  <si>
    <t>No Prepayment</t>
  </si>
  <si>
    <t>Strategy 1
(Extra Monthly EMI)</t>
  </si>
  <si>
    <t>Strategy 2
(Annual Lump Sum)</t>
  </si>
  <si>
    <t>Strategy 3
(One-time Prepayment)</t>
  </si>
  <si>
    <t>Total Prepayment Made (₹)</t>
  </si>
  <si>
    <t>Interest Saved vs No Prepay (₹)</t>
  </si>
  <si>
    <t>Approx. Months Saved</t>
  </si>
  <si>
    <t>💡  TIP: Strategy 3 (One-time large prepayment early in tenure) typically saves the MOST interest overall.</t>
  </si>
  <si>
    <t>📚  EXAMPLE INDIAN HOME LOAN SCENARIOS</t>
  </si>
  <si>
    <t>Reference table of 12 realistic Indian home loan scenarios — all calculations are automatic</t>
  </si>
  <si>
    <t>Scenario Description</t>
  </si>
  <si>
    <t>Loan Amount
(₹)</t>
  </si>
  <si>
    <t>Rate
(%)</t>
  </si>
  <si>
    <t>Tenure
(Yrs)</t>
  </si>
  <si>
    <t>Monthly EMI
(₹)</t>
  </si>
  <si>
    <t>Total Interest
(₹)</t>
  </si>
  <si>
    <t>Prepayment
(₹)</t>
  </si>
  <si>
    <t>Int. w/ Prepay
(₹)</t>
  </si>
  <si>
    <t>Int. Saved
(₹)</t>
  </si>
  <si>
    <t>First-time buyer – Mid-range city</t>
  </si>
  <si>
    <t>Mumbai apartment – High value</t>
  </si>
  <si>
    <t>Affordable housing scheme – Tier 2</t>
  </si>
  <si>
    <t>Bangalore IT professional</t>
  </si>
  <si>
    <t>Delhi NCR home – Long tenure</t>
  </si>
  <si>
    <t>Pune flat – PMAY beneficiary</t>
  </si>
  <si>
    <t>Chennai independent house</t>
  </si>
  <si>
    <t>Hyderabad – Early repayment plan</t>
  </si>
  <si>
    <t>Kolkata – Monthly prepayment strategy</t>
  </si>
  <si>
    <t>Ahmedabad – Aggressive prepay</t>
  </si>
  <si>
    <t>Jaipur – Second home investment</t>
  </si>
  <si>
    <t>Kochi – NRI home loan</t>
  </si>
  <si>
    <t>📐  FORMULA EXPLANATION &amp; GUIDE</t>
  </si>
  <si>
    <t xml:space="preserve">  🔹  PMT Formula (Monthly EMI)</t>
  </si>
  <si>
    <t>Syntax</t>
  </si>
  <si>
    <t xml:space="preserve"> =PMT(rate, nper, pv)</t>
  </si>
  <si>
    <t>Excel Usage</t>
  </si>
  <si>
    <t xml:space="preserve"> =PMT(annual_rate/12, tenure_years*12, loan_amount)</t>
  </si>
  <si>
    <t>Example</t>
  </si>
  <si>
    <t xml:space="preserve"> =PMT(8.5%/12, 20*12, 5000000) → ₹43,391/month</t>
  </si>
  <si>
    <t>Note</t>
  </si>
  <si>
    <t>PMT returns negative value; use minus sign to make positive</t>
  </si>
  <si>
    <t xml:space="preserve">  🔹  IPMT Formula (Interest Component)</t>
  </si>
  <si>
    <t xml:space="preserve"> =IPMT(rate, per, nper, pv)</t>
  </si>
  <si>
    <t xml:space="preserve"> =IPMT(annual_rate/12, month_number, tenure*12, loan_amount)</t>
  </si>
  <si>
    <t xml:space="preserve"> =IPMT(8.5%/12, 1, 240, 5000000) → Interest for Month 1</t>
  </si>
  <si>
    <t>Calculates interest portion for any specific EMI payment</t>
  </si>
  <si>
    <t xml:space="preserve">  🔹  PPMT Formula (Principal Component)</t>
  </si>
  <si>
    <t xml:space="preserve"> =PPMT(rate, per, nper, pv)</t>
  </si>
  <si>
    <t xml:space="preserve"> =PPMT(annual_rate/12, month_number, tenure*12, loan_amount)</t>
  </si>
  <si>
    <t xml:space="preserve"> =PPMT(8.5%/12, 1, 240, 5000000) → Principal for Month 1</t>
  </si>
  <si>
    <t>Principal + Interest = EMI; Principal increases each month</t>
  </si>
  <si>
    <t xml:space="preserve">  🔹  Manual EMI Formula</t>
  </si>
  <si>
    <t>Formula</t>
  </si>
  <si>
    <t>EMI = P × r × (1+r)^n / ((1+r)^n - 1)</t>
  </si>
  <si>
    <t>Where</t>
  </si>
  <si>
    <t>P = Principal Loan Amount</t>
  </si>
  <si>
    <t>r = Monthly Interest Rate (Annual Rate ÷ 12)</t>
  </si>
  <si>
    <t>n = Total Number of Monthly Payments</t>
  </si>
  <si>
    <t>P=50L, r=8.5%/12=0.708%, n=240 → EMI=₹43,391</t>
  </si>
  <si>
    <t xml:space="preserve">  🔹  EDATE Formula (Loan End Date)</t>
  </si>
  <si>
    <t xml:space="preserve"> =EDATE(start_date, months)</t>
  </si>
  <si>
    <t xml:space="preserve"> =EDATE(loan_start_date, tenure_years*12)</t>
  </si>
  <si>
    <t xml:space="preserve"> =EDATE("01/04/2025", 240) → 01/04/2045</t>
  </si>
  <si>
    <t xml:space="preserve">  🔹  Color Coding Convention</t>
  </si>
  <si>
    <t>Blue Text</t>
  </si>
  <si>
    <t>Hardcoded inputs — values entered by user</t>
  </si>
  <si>
    <t>Black Text</t>
  </si>
  <si>
    <t>Formula outputs — calculated automatically</t>
  </si>
  <si>
    <t>Yellow Background</t>
  </si>
  <si>
    <t>Input cells — user should enter values here</t>
  </si>
  <si>
    <t>Green Background</t>
  </si>
  <si>
    <t>Results &amp; outputs — do not manually edit</t>
  </si>
  <si>
    <t>📖  USER GUIDE &amp; INSTRUCTIONS</t>
  </si>
  <si>
    <t xml:space="preserve">  STEP 1 — Enter Loan Details</t>
  </si>
  <si>
    <t xml:space="preserve">    ✔  Go to the 'EMI Calculator' sheet (first tab)</t>
  </si>
  <si>
    <t xml:space="preserve">    ✔  Enter your Loan Amount in cell C6 (e.g., 5000000 for ₹50 Lakhs)</t>
  </si>
  <si>
    <t xml:space="preserve">    ✔  Enter Annual Interest Rate in C7 as decimal (e.g., 0.085 for 8.5%)</t>
  </si>
  <si>
    <t xml:space="preserve">    ✔  Enter Loan Tenure in Years in C8 (e.g., 20 for 20 years)</t>
  </si>
  <si>
    <t xml:space="preserve">    ✔  Enter Loan Start Date in C9 in DD/MM/YYYY format</t>
  </si>
  <si>
    <t xml:space="preserve">    ✔  All results auto-calculate immediately — no button to press!</t>
  </si>
  <si>
    <t xml:space="preserve">  STEP 2 — Test Prepayment Options</t>
  </si>
  <si>
    <t xml:space="preserve">    ✔  Enter Prepayment Amount in C10 (e.g., 100000 for ₹1 Lakh)</t>
  </si>
  <si>
    <t xml:space="preserve">    ✔  Enter Prepayment Frequency in C11: type 'Yearly', 'Monthly', or 'One-time'</t>
  </si>
  <si>
    <t xml:space="preserve">    ✔  View savings summary in the 'Prepayment Impact Summary' section on same sheet</t>
  </si>
  <si>
    <t xml:space="preserve">    ✔  For detailed prepayment analysis, go to 'Prepayment Calculator' sheet</t>
  </si>
  <si>
    <t xml:space="preserve">  STEP 3 — Read the Amortization Schedule</t>
  </si>
  <si>
    <t xml:space="preserve">    ✔  Go to the 'Amortization Schedule' tab</t>
  </si>
  <si>
    <t xml:space="preserve">    ✔  This table shows a month-by-month breakdown of every EMI payment</t>
  </si>
  <si>
    <t xml:space="preserve">    ✔  Green values = Principal paid each month (increases over time)</t>
  </si>
  <si>
    <t xml:space="preserve">    ✔  Red values = Interest paid each month (decreases over time)</t>
  </si>
  <si>
    <t xml:space="preserve">    ✔  Orange values = Prepayment amounts applied each month</t>
  </si>
  <si>
    <t xml:space="preserve">    ✔  The table auto-updates when you change loan details</t>
  </si>
  <si>
    <t xml:space="preserve">  STEP 4 — Compare Loan Scenarios</t>
  </si>
  <si>
    <t xml:space="preserve">    ✔  Go to the 'Loan Comparison' tab</t>
  </si>
  <si>
    <t xml:space="preserve">    ✔  This compares your loan WITH and WITHOUT prepayment</t>
  </si>
  <si>
    <t xml:space="preserve">    ✔  The difference column shows how much you save</t>
  </si>
  <si>
    <t xml:space="preserve">    ✔  Use this to decide if prepayment makes financial sense</t>
  </si>
  <si>
    <t xml:space="preserve">  STEP 5 — Test Prepayment Strategies</t>
  </si>
  <si>
    <t xml:space="preserve">    ✔  Go to the 'Strategy Simulator' tab</t>
  </si>
  <si>
    <t xml:space="preserve">    ✔  Enter extra monthly amount in C9 (for Strategy 1)</t>
  </si>
  <si>
    <t xml:space="preserve">    ✔  Enter annual lump sum in C10 (for Strategy 2)</t>
  </si>
  <si>
    <t xml:space="preserve">    ✔  Enter one-time prepayment in C11 (for Strategy 3)</t>
  </si>
  <si>
    <t xml:space="preserve">    ✔  Compare all three strategies side by side in the results table</t>
  </si>
  <si>
    <t xml:space="preserve">  STEP 6 — View Example Scenarios</t>
  </si>
  <si>
    <t xml:space="preserve">    ✔  Go to 'Example Scenarios' tab for 12 pre-calculated Indian loan examples</t>
  </si>
  <si>
    <t xml:space="preserve">    ✔  All examples include EMI, total interest, and interest saved with prepayment</t>
  </si>
  <si>
    <t xml:space="preserve">    ✔  Use these as a reference to understand typical loan costs</t>
  </si>
  <si>
    <t xml:space="preserve">  IMPORTANT NOTES</t>
  </si>
  <si>
    <t xml:space="preserve">    ✔  Only edit YELLOW background cells — these are input cells</t>
  </si>
  <si>
    <t xml:space="preserve">    ✔  Never manually edit cells with green/white background — those are formulas</t>
  </si>
  <si>
    <t xml:space="preserve">    ✔  All amounts are in Indian Rupees (₹)</t>
  </si>
  <si>
    <t xml:space="preserve">    ✔  Interest calculations are approximate and may differ slightly from actual bank statements</t>
  </si>
  <si>
    <t xml:space="preserve">    ✔  This calculator assumes reducing balance method (standard for Indian home loans)</t>
  </si>
  <si>
    <t xml:space="preserve">    ✔  Consult your bank or financial advisor for official EMI amounts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</si>
</sst>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₹#,##0"/>
    <numFmt numFmtId="165" formatCode="dd/mm/yyyy"/>
    <numFmt numFmtId="166" formatCode="0.00\x"/>
    <numFmt numFmtId="167" formatCode="mmm\-yyyy"/>
  </numFmts>
  <fonts count="25" x14ac:knownFonts="1">
    <font>
      <sz val="11"/>
      <color theme="1"/>
      <name val="Calibri"/>
      <family val="2"/>
      <charset val="1"/>
    </font>
    <font>
      <b/>
      <sz val="16"/>
      <color rgb="FFFFFFFF"/>
      <name val="Arial"/>
      <charset val="1"/>
    </font>
    <font>
      <i/>
      <sz val="10"/>
      <color rgb="FFC8952A"/>
      <name val="Arial"/>
      <charset val="1"/>
    </font>
    <font>
      <b/>
      <sz val="11"/>
      <color rgb="FFFFFFFF"/>
      <name val="Arial"/>
      <charset val="1"/>
    </font>
    <font>
      <b/>
      <sz val="10"/>
      <color rgb="FF000000"/>
      <name val="Arial"/>
      <charset val="1"/>
    </font>
    <font>
      <b/>
      <sz val="10"/>
      <color rgb="FF0000FF"/>
      <name val="Arial"/>
      <charset val="1"/>
    </font>
    <font>
      <b/>
      <sz val="10"/>
      <color rgb="FF2E7D32"/>
      <name val="Arial"/>
      <charset val="1"/>
    </font>
    <font>
      <i/>
      <sz val="9"/>
      <color rgb="FF546E7A"/>
      <name val="Arial"/>
      <charset val="1"/>
    </font>
    <font>
      <b/>
      <sz val="9"/>
      <color rgb="FF1B3A6B"/>
      <name val="Arial"/>
      <charset val="1"/>
    </font>
    <font>
      <b/>
      <sz val="15"/>
      <color rgb="FFFFFFFF"/>
      <name val="Arial"/>
      <charset val="1"/>
    </font>
    <font>
      <i/>
      <sz val="9"/>
      <color rgb="FFC8952A"/>
      <name val="Arial"/>
      <charset val="1"/>
    </font>
    <font>
      <b/>
      <sz val="10"/>
      <color rgb="FFFFFFFF"/>
      <name val="Arial"/>
      <charset val="1"/>
    </font>
    <font>
      <b/>
      <sz val="10"/>
      <color rgb="FF000080"/>
      <name val="Arial"/>
      <charset val="1"/>
    </font>
    <font>
      <b/>
      <sz val="9"/>
      <color rgb="FFFFFFFF"/>
      <name val="Arial"/>
      <charset val="1"/>
    </font>
    <font>
      <sz val="9"/>
      <color rgb="FF000000"/>
      <name val="Arial"/>
      <charset val="1"/>
    </font>
    <font>
      <sz val="9"/>
      <color rgb="FF2E7D32"/>
      <name val="Arial"/>
      <charset val="1"/>
    </font>
    <font>
      <sz val="9"/>
      <color rgb="FFC62828"/>
      <name val="Arial"/>
      <charset val="1"/>
    </font>
    <font>
      <sz val="9"/>
      <color rgb="FFE65100"/>
      <name val="Arial"/>
      <charset val="1"/>
    </font>
    <font>
      <b/>
      <sz val="9"/>
      <color rgb="FF000000"/>
      <name val="Arial"/>
      <charset val="1"/>
    </font>
    <font>
      <b/>
      <sz val="12"/>
      <color rgb="FF2E7D32"/>
      <name val="Arial"/>
      <charset val="1"/>
    </font>
    <font>
      <sz val="10"/>
      <color rgb="FF000000"/>
      <name val="Arial"/>
      <charset val="1"/>
    </font>
    <font>
      <b/>
      <sz val="10"/>
      <color rgb="FFC62828"/>
      <name val="Arial"/>
      <charset val="1"/>
    </font>
    <font>
      <b/>
      <sz val="9"/>
      <color rgb="FF2E7D32"/>
      <name val="Arial"/>
      <charset val="1"/>
    </font>
    <font>
      <sz val="10"/>
      <name val="Courier New"/>
      <charset val="1"/>
    </font>
    <font>
      <b/>
      <sz val="12"/>
      <color rgb="FFFFFFFF"/>
      <name val="Arial"/>
      <charset val="1"/>
    </font>
  </fonts>
  <fills count="18">
    <fill>
      <patternFill patternType="none"/>
    </fill>
    <fill>
      <patternFill patternType="gray125"/>
    </fill>
    <fill>
      <patternFill patternType="solid">
        <fgColor rgb="FF1B3A6B"/>
        <bgColor rgb="FF37474F"/>
      </patternFill>
    </fill>
    <fill>
      <patternFill patternType="solid">
        <fgColor rgb="FFD6E4F7"/>
        <bgColor rgb="FFECEFF1"/>
      </patternFill>
    </fill>
    <fill>
      <patternFill patternType="solid">
        <fgColor rgb="FFFFF9E6"/>
        <bgColor rgb="FFFFF3E0"/>
      </patternFill>
    </fill>
    <fill>
      <patternFill patternType="solid">
        <fgColor rgb="FFE8F5E9"/>
        <bgColor rgb="FFECEFF1"/>
      </patternFill>
    </fill>
    <fill>
      <patternFill patternType="solid">
        <fgColor rgb="FFF0F5FC"/>
        <bgColor rgb="FFECEFF1"/>
      </patternFill>
    </fill>
    <fill>
      <patternFill patternType="solid">
        <fgColor rgb="FFC8E6C9"/>
        <bgColor rgb="FFD6E4F7"/>
      </patternFill>
    </fill>
    <fill>
      <patternFill patternType="solid">
        <fgColor rgb="FFECEFF1"/>
        <bgColor rgb="FFE8F5E9"/>
      </patternFill>
    </fill>
    <fill>
      <patternFill patternType="solid">
        <fgColor rgb="FF2E5FA3"/>
        <bgColor rgb="FF546E7A"/>
      </patternFill>
    </fill>
    <fill>
      <patternFill patternType="solid">
        <fgColor rgb="FFFFFFFF"/>
        <bgColor rgb="FFFFF9E6"/>
      </patternFill>
    </fill>
    <fill>
      <patternFill patternType="solid">
        <fgColor rgb="FF2E7D32"/>
        <bgColor rgb="FF008000"/>
      </patternFill>
    </fill>
    <fill>
      <patternFill patternType="solid">
        <fgColor rgb="FFC62828"/>
        <bgColor rgb="FF993366"/>
      </patternFill>
    </fill>
    <fill>
      <patternFill patternType="solid">
        <fgColor rgb="FFFFEBEE"/>
        <bgColor rgb="FFFFF3E0"/>
      </patternFill>
    </fill>
    <fill>
      <patternFill patternType="solid">
        <fgColor rgb="FFC8952A"/>
        <bgColor rgb="FFFF8080"/>
      </patternFill>
    </fill>
    <fill>
      <patternFill patternType="solid">
        <fgColor rgb="FFFFF3E0"/>
        <bgColor rgb="FFFFF9E6"/>
      </patternFill>
    </fill>
    <fill>
      <patternFill patternType="solid">
        <fgColor rgb="FF6A1B9A"/>
        <bgColor rgb="FF800080"/>
      </patternFill>
    </fill>
    <fill>
      <patternFill patternType="solid">
        <fgColor rgb="FF37474F"/>
        <bgColor rgb="FF1B3A6B"/>
      </patternFill>
    </fill>
  </fills>
  <borders count="8">
    <border>
      <left/>
      <right/>
      <top/>
      <bottom/>
      <diagonal/>
    </border>
    <border>
      <left style="thin">
        <color rgb="FF1B3A6B"/>
      </left>
      <right/>
      <top style="thin">
        <color rgb="FF1B3A6B"/>
      </top>
      <bottom style="thin">
        <color rgb="FF1B3A6B"/>
      </bottom>
      <diagonal/>
    </border>
    <border>
      <left style="thin">
        <color rgb="FFB0BEC5"/>
      </left>
      <right style="thin">
        <color rgb="FFB0BEC5"/>
      </right>
      <top style="thin">
        <color rgb="FFB0BEC5"/>
      </top>
      <bottom style="thin">
        <color rgb="FFB0BEC5"/>
      </bottom>
      <diagonal/>
    </border>
    <border>
      <left style="thin">
        <color rgb="FFC8952A"/>
      </left>
      <right style="thin">
        <color rgb="FFC8952A"/>
      </right>
      <top style="thin">
        <color rgb="FFC8952A"/>
      </top>
      <bottom style="thin">
        <color rgb="FFC8952A"/>
      </bottom>
      <diagonal/>
    </border>
    <border>
      <left style="thin">
        <color rgb="FFB0BEC5"/>
      </left>
      <right/>
      <top style="thin">
        <color rgb="FFB0BEC5"/>
      </top>
      <bottom style="thin">
        <color rgb="FFB0BEC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medium">
        <color rgb="FF1B3A6B"/>
      </left>
      <right style="medium">
        <color rgb="FF1B3A6B"/>
      </right>
      <top style="medium">
        <color rgb="FF1B3A6B"/>
      </top>
      <bottom style="medium">
        <color rgb="FF1B3A6B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3" fillId="14" borderId="1" xfId="0" applyFont="1" applyFill="1" applyBorder="1" applyAlignment="1">
      <alignment horizontal="left" vertical="center"/>
    </xf>
    <xf numFmtId="0" fontId="3" fillId="12" borderId="1" xfId="0" applyFont="1" applyFill="1" applyBorder="1" applyAlignment="1">
      <alignment horizontal="left" vertical="center"/>
    </xf>
    <xf numFmtId="0" fontId="3" fillId="11" borderId="1" xfId="0" applyFont="1" applyFill="1" applyBorder="1" applyAlignment="1">
      <alignment horizontal="left" vertical="center"/>
    </xf>
    <xf numFmtId="0" fontId="3" fillId="9" borderId="1" xfId="0" applyFont="1" applyFill="1" applyBorder="1" applyAlignment="1">
      <alignment horizontal="left" vertical="center"/>
    </xf>
    <xf numFmtId="0" fontId="11" fillId="2" borderId="6" xfId="0" applyFont="1" applyFill="1" applyBorder="1" applyAlignment="1">
      <alignment horizontal="center" vertical="center" wrapText="1"/>
    </xf>
    <xf numFmtId="0" fontId="11" fillId="9" borderId="1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7" fillId="8" borderId="4" xfId="0" applyFont="1" applyFill="1" applyBorder="1" applyAlignment="1">
      <alignment horizontal="lef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164" fontId="5" fillId="4" borderId="3" xfId="0" applyNumberFormat="1" applyFont="1" applyFill="1" applyBorder="1" applyAlignment="1">
      <alignment horizontal="right" vertical="center"/>
    </xf>
    <xf numFmtId="164" fontId="4" fillId="5" borderId="2" xfId="0" applyNumberFormat="1" applyFont="1" applyFill="1" applyBorder="1" applyAlignment="1">
      <alignment horizontal="right" vertical="center"/>
    </xf>
    <xf numFmtId="10" fontId="5" fillId="4" borderId="3" xfId="0" applyNumberFormat="1" applyFont="1" applyFill="1" applyBorder="1" applyAlignment="1">
      <alignment horizontal="right" vertical="center"/>
    </xf>
    <xf numFmtId="0" fontId="5" fillId="4" borderId="3" xfId="0" applyFont="1" applyFill="1" applyBorder="1" applyAlignment="1">
      <alignment horizontal="right" vertical="center"/>
    </xf>
    <xf numFmtId="165" fontId="5" fillId="4" borderId="3" xfId="0" applyNumberFormat="1" applyFont="1" applyFill="1" applyBorder="1" applyAlignment="1">
      <alignment horizontal="right" vertical="center"/>
    </xf>
    <xf numFmtId="165" fontId="4" fillId="5" borderId="2" xfId="0" applyNumberFormat="1" applyFont="1" applyFill="1" applyBorder="1" applyAlignment="1">
      <alignment horizontal="right" vertical="center"/>
    </xf>
    <xf numFmtId="166" fontId="4" fillId="5" borderId="2" xfId="0" applyNumberFormat="1" applyFont="1" applyFill="1" applyBorder="1" applyAlignment="1">
      <alignment horizontal="right" vertical="center"/>
    </xf>
    <xf numFmtId="10" fontId="4" fillId="5" borderId="2" xfId="0" applyNumberFormat="1" applyFont="1" applyFill="1" applyBorder="1" applyAlignment="1">
      <alignment horizontal="right" vertical="center"/>
    </xf>
    <xf numFmtId="164" fontId="6" fillId="7" borderId="2" xfId="0" applyNumberFormat="1" applyFont="1" applyFill="1" applyBorder="1" applyAlignment="1">
      <alignment horizontal="right" vertical="center"/>
    </xf>
    <xf numFmtId="0" fontId="4" fillId="5" borderId="2" xfId="0" applyFont="1" applyFill="1" applyBorder="1" applyAlignment="1">
      <alignment horizontal="right" vertical="center"/>
    </xf>
    <xf numFmtId="164" fontId="12" fillId="10" borderId="2" xfId="0" applyNumberFormat="1" applyFont="1" applyFill="1" applyBorder="1" applyAlignment="1">
      <alignment horizontal="right" vertical="center"/>
    </xf>
    <xf numFmtId="10" fontId="12" fillId="10" borderId="2" xfId="0" applyNumberFormat="1" applyFont="1" applyFill="1" applyBorder="1" applyAlignment="1">
      <alignment horizontal="right" vertical="center"/>
    </xf>
    <xf numFmtId="0" fontId="12" fillId="10" borderId="2" xfId="0" applyFont="1" applyFill="1" applyBorder="1" applyAlignment="1">
      <alignment horizontal="right" vertical="center"/>
    </xf>
    <xf numFmtId="165" fontId="12" fillId="10" borderId="2" xfId="0" applyNumberFormat="1" applyFont="1" applyFill="1" applyBorder="1" applyAlignment="1">
      <alignment horizontal="right" vertical="center"/>
    </xf>
    <xf numFmtId="0" fontId="13" fillId="2" borderId="5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 wrapText="1"/>
    </xf>
    <xf numFmtId="167" fontId="14" fillId="6" borderId="2" xfId="0" applyNumberFormat="1" applyFont="1" applyFill="1" applyBorder="1" applyAlignment="1">
      <alignment horizontal="center" vertical="center" wrapText="1"/>
    </xf>
    <xf numFmtId="164" fontId="14" fillId="6" borderId="2" xfId="0" applyNumberFormat="1" applyFont="1" applyFill="1" applyBorder="1" applyAlignment="1">
      <alignment horizontal="right" vertical="center"/>
    </xf>
    <xf numFmtId="164" fontId="15" fillId="6" borderId="2" xfId="0" applyNumberFormat="1" applyFont="1" applyFill="1" applyBorder="1" applyAlignment="1">
      <alignment horizontal="right" vertical="center"/>
    </xf>
    <xf numFmtId="164" fontId="16" fillId="6" borderId="2" xfId="0" applyNumberFormat="1" applyFont="1" applyFill="1" applyBorder="1" applyAlignment="1">
      <alignment horizontal="right" vertical="center"/>
    </xf>
    <xf numFmtId="164" fontId="17" fillId="6" borderId="2" xfId="0" applyNumberFormat="1" applyFont="1" applyFill="1" applyBorder="1" applyAlignment="1">
      <alignment horizontal="right" vertical="center"/>
    </xf>
    <xf numFmtId="164" fontId="18" fillId="6" borderId="2" xfId="0" applyNumberFormat="1" applyFont="1" applyFill="1" applyBorder="1" applyAlignment="1">
      <alignment horizontal="right" vertical="center"/>
    </xf>
    <xf numFmtId="0" fontId="8" fillId="10" borderId="2" xfId="0" applyFont="1" applyFill="1" applyBorder="1" applyAlignment="1">
      <alignment horizontal="center" vertical="center" wrapText="1"/>
    </xf>
    <xf numFmtId="167" fontId="14" fillId="10" borderId="2" xfId="0" applyNumberFormat="1" applyFont="1" applyFill="1" applyBorder="1" applyAlignment="1">
      <alignment horizontal="center" vertical="center" wrapText="1"/>
    </xf>
    <xf numFmtId="164" fontId="14" fillId="10" borderId="2" xfId="0" applyNumberFormat="1" applyFont="1" applyFill="1" applyBorder="1" applyAlignment="1">
      <alignment horizontal="right" vertical="center"/>
    </xf>
    <xf numFmtId="164" fontId="15" fillId="10" borderId="2" xfId="0" applyNumberFormat="1" applyFont="1" applyFill="1" applyBorder="1" applyAlignment="1">
      <alignment horizontal="right" vertical="center"/>
    </xf>
    <xf numFmtId="164" fontId="16" fillId="10" borderId="2" xfId="0" applyNumberFormat="1" applyFont="1" applyFill="1" applyBorder="1" applyAlignment="1">
      <alignment horizontal="right" vertical="center"/>
    </xf>
    <xf numFmtId="164" fontId="17" fillId="10" borderId="2" xfId="0" applyNumberFormat="1" applyFont="1" applyFill="1" applyBorder="1" applyAlignment="1">
      <alignment horizontal="right" vertical="center"/>
    </xf>
    <xf numFmtId="164" fontId="18" fillId="10" borderId="2" xfId="0" applyNumberFormat="1" applyFont="1" applyFill="1" applyBorder="1" applyAlignment="1">
      <alignment horizontal="right" vertical="center"/>
    </xf>
    <xf numFmtId="164" fontId="11" fillId="2" borderId="5" xfId="0" applyNumberFormat="1" applyFont="1" applyFill="1" applyBorder="1" applyAlignment="1">
      <alignment horizontal="right" vertical="center"/>
    </xf>
    <xf numFmtId="0" fontId="0" fillId="2" borderId="5" xfId="0" applyFill="1" applyBorder="1"/>
    <xf numFmtId="0" fontId="4" fillId="5" borderId="2" xfId="0" applyFont="1" applyFill="1" applyBorder="1" applyAlignment="1">
      <alignment horizontal="left" vertical="center" wrapText="1"/>
    </xf>
    <xf numFmtId="0" fontId="4" fillId="10" borderId="2" xfId="0" applyFont="1" applyFill="1" applyBorder="1" applyAlignment="1">
      <alignment horizontal="right" vertical="center"/>
    </xf>
    <xf numFmtId="0" fontId="4" fillId="13" borderId="2" xfId="0" applyFont="1" applyFill="1" applyBorder="1" applyAlignment="1">
      <alignment horizontal="left" vertical="center" wrapText="1"/>
    </xf>
    <xf numFmtId="164" fontId="4" fillId="10" borderId="2" xfId="0" applyNumberFormat="1" applyFont="1" applyFill="1" applyBorder="1" applyAlignment="1">
      <alignment horizontal="right" vertical="center"/>
    </xf>
    <xf numFmtId="164" fontId="19" fillId="5" borderId="7" xfId="0" applyNumberFormat="1" applyFont="1" applyFill="1" applyBorder="1" applyAlignment="1">
      <alignment horizontal="right" vertical="center"/>
    </xf>
    <xf numFmtId="0" fontId="19" fillId="5" borderId="7" xfId="0" applyFont="1" applyFill="1" applyBorder="1" applyAlignment="1">
      <alignment horizontal="right" vertical="center"/>
    </xf>
    <xf numFmtId="10" fontId="19" fillId="5" borderId="7" xfId="0" applyNumberFormat="1" applyFont="1" applyFill="1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 wrapText="1"/>
    </xf>
    <xf numFmtId="0" fontId="11" fillId="9" borderId="5" xfId="0" applyFont="1" applyFill="1" applyBorder="1" applyAlignment="1">
      <alignment horizontal="center" vertical="center" wrapText="1"/>
    </xf>
    <xf numFmtId="0" fontId="11" fillId="11" borderId="5" xfId="0" applyFont="1" applyFill="1" applyBorder="1" applyAlignment="1">
      <alignment horizontal="center" vertical="center" wrapText="1"/>
    </xf>
    <xf numFmtId="164" fontId="20" fillId="10" borderId="2" xfId="0" applyNumberFormat="1" applyFont="1" applyFill="1" applyBorder="1" applyAlignment="1">
      <alignment horizontal="right" vertical="center"/>
    </xf>
    <xf numFmtId="164" fontId="21" fillId="13" borderId="2" xfId="0" applyNumberFormat="1" applyFont="1" applyFill="1" applyBorder="1" applyAlignment="1">
      <alignment horizontal="right" vertical="center"/>
    </xf>
    <xf numFmtId="10" fontId="20" fillId="6" borderId="2" xfId="0" applyNumberFormat="1" applyFont="1" applyFill="1" applyBorder="1" applyAlignment="1">
      <alignment horizontal="right" vertical="center"/>
    </xf>
    <xf numFmtId="10" fontId="21" fillId="13" borderId="2" xfId="0" applyNumberFormat="1" applyFont="1" applyFill="1" applyBorder="1" applyAlignment="1">
      <alignment horizontal="right" vertical="center"/>
    </xf>
    <xf numFmtId="2" fontId="20" fillId="10" borderId="2" xfId="0" applyNumberFormat="1" applyFont="1" applyFill="1" applyBorder="1" applyAlignment="1">
      <alignment horizontal="right" vertical="center"/>
    </xf>
    <xf numFmtId="2" fontId="21" fillId="13" borderId="2" xfId="0" applyNumberFormat="1" applyFont="1" applyFill="1" applyBorder="1" applyAlignment="1">
      <alignment horizontal="right" vertical="center"/>
    </xf>
    <xf numFmtId="164" fontId="20" fillId="6" borderId="2" xfId="0" applyNumberFormat="1" applyFont="1" applyFill="1" applyBorder="1" applyAlignment="1">
      <alignment horizontal="right" vertical="center"/>
    </xf>
    <xf numFmtId="1" fontId="20" fillId="10" borderId="2" xfId="0" applyNumberFormat="1" applyFont="1" applyFill="1" applyBorder="1" applyAlignment="1">
      <alignment horizontal="right" vertical="center"/>
    </xf>
    <xf numFmtId="1" fontId="21" fillId="13" borderId="2" xfId="0" applyNumberFormat="1" applyFont="1" applyFill="1" applyBorder="1" applyAlignment="1">
      <alignment horizontal="right" vertical="center"/>
    </xf>
    <xf numFmtId="164" fontId="6" fillId="5" borderId="2" xfId="0" applyNumberFormat="1" applyFont="1" applyFill="1" applyBorder="1" applyAlignment="1">
      <alignment horizontal="right" vertical="center"/>
    </xf>
    <xf numFmtId="1" fontId="6" fillId="5" borderId="2" xfId="0" applyNumberFormat="1" applyFont="1" applyFill="1" applyBorder="1" applyAlignment="1">
      <alignment horizontal="right" vertical="center"/>
    </xf>
    <xf numFmtId="1" fontId="4" fillId="10" borderId="2" xfId="0" applyNumberFormat="1" applyFont="1" applyFill="1" applyBorder="1" applyAlignment="1">
      <alignment horizontal="right" vertical="center"/>
    </xf>
    <xf numFmtId="0" fontId="14" fillId="6" borderId="2" xfId="0" applyFont="1" applyFill="1" applyBorder="1" applyAlignment="1">
      <alignment horizontal="center" vertical="center" wrapText="1"/>
    </xf>
    <xf numFmtId="0" fontId="14" fillId="6" borderId="2" xfId="0" applyFont="1" applyFill="1" applyBorder="1" applyAlignment="1">
      <alignment horizontal="right" vertical="center"/>
    </xf>
    <xf numFmtId="10" fontId="14" fillId="6" borderId="2" xfId="0" applyNumberFormat="1" applyFont="1" applyFill="1" applyBorder="1" applyAlignment="1">
      <alignment horizontal="right" vertical="center"/>
    </xf>
    <xf numFmtId="1" fontId="14" fillId="6" borderId="2" xfId="0" applyNumberFormat="1" applyFont="1" applyFill="1" applyBorder="1" applyAlignment="1">
      <alignment horizontal="center" vertical="center" wrapText="1"/>
    </xf>
    <xf numFmtId="164" fontId="22" fillId="5" borderId="2" xfId="0" applyNumberFormat="1" applyFont="1" applyFill="1" applyBorder="1" applyAlignment="1">
      <alignment horizontal="right" vertical="center"/>
    </xf>
    <xf numFmtId="0" fontId="14" fillId="10" borderId="2" xfId="0" applyFont="1" applyFill="1" applyBorder="1" applyAlignment="1">
      <alignment horizontal="center" vertical="center" wrapText="1"/>
    </xf>
    <xf numFmtId="0" fontId="14" fillId="10" borderId="2" xfId="0" applyFont="1" applyFill="1" applyBorder="1" applyAlignment="1">
      <alignment horizontal="right" vertical="center"/>
    </xf>
    <xf numFmtId="10" fontId="14" fillId="10" borderId="2" xfId="0" applyNumberFormat="1" applyFont="1" applyFill="1" applyBorder="1" applyAlignment="1">
      <alignment horizontal="right" vertical="center"/>
    </xf>
    <xf numFmtId="1" fontId="14" fillId="10" borderId="2" xfId="0" applyNumberFormat="1" applyFont="1" applyFill="1" applyBorder="1" applyAlignment="1">
      <alignment horizontal="center" vertical="center" wrapText="1"/>
    </xf>
    <xf numFmtId="0" fontId="23" fillId="10" borderId="2" xfId="0" applyFont="1" applyFill="1" applyBorder="1" applyAlignment="1">
      <alignment horizontal="left" vertical="center" wrapText="1"/>
    </xf>
    <xf numFmtId="0" fontId="23" fillId="6" borderId="2" xfId="0" applyFont="1" applyFill="1" applyBorder="1" applyAlignment="1">
      <alignment horizontal="left" vertical="center" wrapText="1"/>
    </xf>
    <xf numFmtId="0" fontId="24" fillId="9" borderId="0" xfId="0" applyFont="1" applyFill="1" applyAlignment="1">
      <alignment horizontal="left" vertical="center" wrapText="1"/>
    </xf>
    <xf numFmtId="0" fontId="20" fillId="10" borderId="2" xfId="0" applyFont="1" applyFill="1" applyBorder="1" applyAlignment="1">
      <alignment horizontal="left" vertical="center" wrapText="1"/>
    </xf>
    <xf numFmtId="0" fontId="20" fillId="6" borderId="2" xfId="0" applyFont="1" applyFill="1" applyBorder="1" applyAlignment="1">
      <alignment horizontal="left" vertical="center" wrapText="1"/>
    </xf>
    <xf numFmtId="0" fontId="24" fillId="11" borderId="0" xfId="0" applyFont="1" applyFill="1" applyAlignment="1">
      <alignment horizontal="left" vertical="center" wrapText="1"/>
    </xf>
    <xf numFmtId="0" fontId="24" fillId="12" borderId="0" xfId="0" applyFont="1" applyFill="1" applyAlignment="1">
      <alignment horizontal="left" vertical="center" wrapText="1"/>
    </xf>
    <xf numFmtId="0" fontId="24" fillId="14" borderId="0" xfId="0" applyFont="1" applyFill="1" applyAlignment="1">
      <alignment horizontal="left" vertical="center" wrapText="1"/>
    </xf>
    <xf numFmtId="0" fontId="24" fillId="16" borderId="0" xfId="0" applyFont="1" applyFill="1" applyAlignment="1">
      <alignment horizontal="left" vertical="center" wrapText="1"/>
    </xf>
    <xf numFmtId="0" fontId="24" fillId="17" borderId="0" xfId="0" applyFont="1" applyFill="1" applyAlignment="1">
      <alignment horizontal="left" vertical="center" wrapText="1"/>
    </xf>
    <xf numFmtId="0" fontId="4" fillId="15" borderId="4" xfId="0" applyFont="1" applyFill="1" applyBorder="1" applyAlignment="1">
      <alignment horizontal="left" vertical="center" wrapText="1"/>
    </xf>
    <xf numFmtId="0" fontId="3" fillId="11" borderId="0" xfId="0" applyFont="1" applyFill="1" applyAlignment="1">
      <alignment horizontal="center" vertical="center" wrapText="1"/>
    </xf>
    <xf numFmtId="0" fontId="11" fillId="14" borderId="0" xfId="0" applyFont="1" applyFill="1" applyAlignment="1">
      <alignment horizontal="center" vertical="center" wrapText="1"/>
    </xf>
    <xf numFmtId="0" fontId="3" fillId="9" borderId="0" xfId="0" applyFont="1" applyFill="1" applyAlignment="1">
      <alignment horizontal="left" vertical="center" wrapText="1"/>
    </xf>
    <xf numFmtId="0" fontId="3" fillId="11" borderId="0" xfId="0" applyFont="1" applyFill="1" applyAlignment="1">
      <alignment horizontal="left" vertical="center" wrapText="1"/>
    </xf>
    <xf numFmtId="0" fontId="3" fillId="12" borderId="0" xfId="0" applyFont="1" applyFill="1" applyAlignment="1">
      <alignment horizontal="left" vertical="center" wrapText="1"/>
    </xf>
    <xf numFmtId="0" fontId="3" fillId="14" borderId="0" xfId="0" applyFont="1" applyFill="1" applyAlignment="1">
      <alignment horizontal="left" vertical="center" wrapText="1"/>
    </xf>
    <xf numFmtId="0" fontId="3" fillId="16" borderId="0" xfId="0" applyFont="1" applyFill="1" applyAlignment="1">
      <alignment horizontal="left" vertical="center" wrapText="1"/>
    </xf>
    <xf numFmtId="0" fontId="3" fillId="17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6A1B9A"/>
      <rgbColor rgb="FF00838F"/>
      <rgbColor rgb="FFB0BEC5"/>
      <rgbColor rgb="FF808080"/>
      <rgbColor rgb="FF9999FF"/>
      <rgbColor rgb="FF993366"/>
      <rgbColor rgb="FFFFF9E6"/>
      <rgbColor rgb="FFE8F5E9"/>
      <rgbColor rgb="FF660066"/>
      <rgbColor rgb="FFFF8080"/>
      <rgbColor rgb="FF2E5FA3"/>
      <rgbColor rgb="FFD6E4F7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0F5FC"/>
      <rgbColor rgb="FFC8E6C9"/>
      <rgbColor rgb="FFFFF3E0"/>
      <rgbColor rgb="FFECEFF1"/>
      <rgbColor rgb="FFFF99CC"/>
      <rgbColor rgb="FFCC99FF"/>
      <rgbColor rgb="FFFFEBEE"/>
      <rgbColor rgb="FF3366FF"/>
      <rgbColor rgb="FF33CCCC"/>
      <rgbColor rgb="FF99CC00"/>
      <rgbColor rgb="FFFFCC00"/>
      <rgbColor rgb="FFC8952A"/>
      <rgbColor rgb="FFE65100"/>
      <rgbColor rgb="FF546E7A"/>
      <rgbColor rgb="FF969696"/>
      <rgbColor rgb="FF1B3A6B"/>
      <rgbColor rgb="FF2E7D32"/>
      <rgbColor rgb="FF003300"/>
      <rgbColor rgb="FF333300"/>
      <rgbColor rgb="FFC62828"/>
      <rgbColor rgb="FF993366"/>
      <rgbColor rgb="FF333399"/>
      <rgbColor rgb="FF37474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B3A6B"/>
  </sheetPr>
  <dimension ref="A1:G22"/>
  <sheetViews>
    <sheetView showGridLines="0" tabSelected="1" zoomScaleNormal="100" workbookViewId="0">
      <pane ySplit="8" topLeftCell="A9" activePane="bottomLeft" state="frozen"/>
      <selection pane="bottomLeft" activeCell="C10" sqref="C10"/>
    </sheetView>
  </sheetViews>
  <sheetFormatPr defaultColWidth="8.6640625" defaultRowHeight="14.4" x14ac:dyDescent="0.3"/>
  <cols>
    <col min="1" max="1" width="3" customWidth="1"/>
    <col min="2" max="2" width="28" customWidth="1"/>
    <col min="3" max="3" width="22" customWidth="1"/>
    <col min="4" max="4" width="5" customWidth="1"/>
    <col min="5" max="5" width="28" customWidth="1"/>
    <col min="6" max="6" width="22" customWidth="1"/>
    <col min="7" max="7" width="3" customWidth="1"/>
  </cols>
  <sheetData>
    <row r="1" spans="1:7" ht="39.75" customHeight="1" x14ac:dyDescent="0.3">
      <c r="A1" s="14" t="s">
        <v>0</v>
      </c>
      <c r="B1" s="14"/>
      <c r="C1" s="14"/>
      <c r="D1" s="14"/>
      <c r="E1" s="14"/>
      <c r="F1" s="14"/>
      <c r="G1" s="14"/>
    </row>
    <row r="2" spans="1:7" ht="18" customHeight="1" x14ac:dyDescent="0.3">
      <c r="A2" s="13" t="s">
        <v>1</v>
      </c>
      <c r="B2" s="13"/>
      <c r="C2" s="13"/>
      <c r="D2" s="13"/>
      <c r="E2" s="13"/>
      <c r="F2" s="13"/>
      <c r="G2" s="13"/>
    </row>
    <row r="3" spans="1:7" ht="7.5" customHeight="1" x14ac:dyDescent="0.3"/>
    <row r="4" spans="1:7" ht="21.75" customHeight="1" x14ac:dyDescent="0.3">
      <c r="B4" s="12" t="s">
        <v>2</v>
      </c>
      <c r="C4" s="12"/>
      <c r="E4" s="12" t="s">
        <v>3</v>
      </c>
      <c r="F4" s="12"/>
    </row>
    <row r="5" spans="1:7" ht="6.75" customHeight="1" x14ac:dyDescent="0.3"/>
    <row r="6" spans="1:7" ht="21.75" customHeight="1" x14ac:dyDescent="0.3">
      <c r="B6" s="15" t="s">
        <v>4</v>
      </c>
      <c r="C6" s="16">
        <v>5000000</v>
      </c>
      <c r="E6" s="15" t="s">
        <v>5</v>
      </c>
      <c r="F6" s="17">
        <f>IFERROR(-PMT(C7/12,C8*12,C6),0)</f>
        <v>43391.161668276698</v>
      </c>
    </row>
    <row r="7" spans="1:7" ht="21.75" customHeight="1" x14ac:dyDescent="0.3">
      <c r="B7" s="15" t="s">
        <v>6</v>
      </c>
      <c r="C7" s="18">
        <v>8.5000000000000006E-2</v>
      </c>
      <c r="E7" s="15" t="s">
        <v>7</v>
      </c>
      <c r="F7" s="17">
        <f>IFERROR(F6*C8*12-C6,0)</f>
        <v>5413878.8003864083</v>
      </c>
    </row>
    <row r="8" spans="1:7" ht="21.75" customHeight="1" x14ac:dyDescent="0.3">
      <c r="B8" s="15" t="s">
        <v>8</v>
      </c>
      <c r="C8" s="19">
        <v>20</v>
      </c>
      <c r="E8" s="15" t="s">
        <v>9</v>
      </c>
      <c r="F8" s="17">
        <f>IFERROR(F6*C8*12,0)</f>
        <v>10413878.800386408</v>
      </c>
    </row>
    <row r="9" spans="1:7" ht="21.75" customHeight="1" x14ac:dyDescent="0.3">
      <c r="B9" s="15" t="s">
        <v>10</v>
      </c>
      <c r="C9" s="20">
        <v>46329</v>
      </c>
      <c r="E9" s="15" t="s">
        <v>11</v>
      </c>
      <c r="F9" s="21">
        <f>IFERROR(EDATE(C9,C8*12),"")</f>
        <v>53634</v>
      </c>
    </row>
    <row r="10" spans="1:7" ht="21.75" customHeight="1" x14ac:dyDescent="0.3">
      <c r="B10" s="15" t="s">
        <v>12</v>
      </c>
      <c r="C10" s="16">
        <v>100000</v>
      </c>
      <c r="E10" s="15" t="s">
        <v>13</v>
      </c>
      <c r="F10" s="22">
        <f>IFERROR(F7/C6,0)</f>
        <v>1.0827757600772816</v>
      </c>
    </row>
    <row r="11" spans="1:7" ht="21.75" customHeight="1" x14ac:dyDescent="0.3">
      <c r="B11" s="15" t="s">
        <v>14</v>
      </c>
      <c r="C11" s="19" t="s">
        <v>15</v>
      </c>
      <c r="E11" s="15" t="s">
        <v>16</v>
      </c>
      <c r="F11" s="23">
        <f>IFERROR((1+C7/12)^12-1,0)</f>
        <v>8.8390905892635541E-2</v>
      </c>
    </row>
    <row r="13" spans="1:7" ht="7.5" customHeight="1" x14ac:dyDescent="0.3"/>
    <row r="14" spans="1:7" ht="21.75" customHeight="1" x14ac:dyDescent="0.3">
      <c r="B14" s="12" t="s">
        <v>17</v>
      </c>
      <c r="C14" s="12"/>
      <c r="D14" s="12"/>
      <c r="E14" s="12"/>
      <c r="F14" s="12"/>
    </row>
    <row r="15" spans="1:7" ht="21.75" customHeight="1" x14ac:dyDescent="0.3">
      <c r="B15" s="11" t="s">
        <v>18</v>
      </c>
      <c r="C15" s="11"/>
      <c r="F15" s="17">
        <f>IFERROR(F6*C8*12-C6,0)</f>
        <v>5413878.8003864083</v>
      </c>
    </row>
    <row r="16" spans="1:7" ht="21.75" customHeight="1" x14ac:dyDescent="0.3">
      <c r="B16" s="11" t="s">
        <v>19</v>
      </c>
      <c r="C16" s="11"/>
      <c r="F16" s="17">
        <f>IFERROR(F6*C8*12-C6-C10*IF(C11="Yearly",C8,IF(C11="Monthly",C8*12,1)),0)</f>
        <v>3413878.8003864083</v>
      </c>
    </row>
    <row r="17" spans="2:6" ht="21.75" customHeight="1" x14ac:dyDescent="0.3">
      <c r="B17" s="11" t="s">
        <v>20</v>
      </c>
      <c r="C17" s="11"/>
      <c r="F17" s="24">
        <f>IFERROR(F15-F16,0)</f>
        <v>2000000</v>
      </c>
    </row>
    <row r="18" spans="2:6" ht="21.75" customHeight="1" x14ac:dyDescent="0.3">
      <c r="B18" s="11" t="s">
        <v>21</v>
      </c>
      <c r="C18" s="11"/>
      <c r="F18" s="25">
        <f>IFERROR(ROUND(C10/F6*IF(C11="Yearly",C8,IF(C11="Monthly",C8*12,1)),0),0)</f>
        <v>46</v>
      </c>
    </row>
    <row r="20" spans="2:6" ht="7.5" customHeight="1" x14ac:dyDescent="0.3"/>
    <row r="21" spans="2:6" ht="18" customHeight="1" x14ac:dyDescent="0.3">
      <c r="B21" s="10" t="s">
        <v>22</v>
      </c>
      <c r="C21" s="10"/>
      <c r="D21" s="10"/>
      <c r="E21" s="10"/>
      <c r="F21" s="10"/>
    </row>
    <row r="22" spans="2:6" ht="18" customHeight="1" x14ac:dyDescent="0.3">
      <c r="B22" s="9" t="s">
        <v>23</v>
      </c>
      <c r="C22" s="9"/>
      <c r="D22" s="9"/>
      <c r="E22" s="9"/>
      <c r="F22" s="9"/>
    </row>
  </sheetData>
  <mergeCells count="11">
    <mergeCell ref="B22:F22"/>
    <mergeCell ref="B15:C15"/>
    <mergeCell ref="B16:C16"/>
    <mergeCell ref="B17:C17"/>
    <mergeCell ref="B18:C18"/>
    <mergeCell ref="B21:F21"/>
    <mergeCell ref="A1:G1"/>
    <mergeCell ref="A2:G2"/>
    <mergeCell ref="B4:C4"/>
    <mergeCell ref="E4:F4"/>
    <mergeCell ref="B14:F14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E5FA3"/>
  </sheetPr>
  <dimension ref="A1:I252"/>
  <sheetViews>
    <sheetView showGridLines="0" zoomScaleNormal="100" workbookViewId="0">
      <pane ySplit="8" topLeftCell="A9" activePane="bottomLeft" state="frozen"/>
      <selection pane="bottomLeft"/>
    </sheetView>
  </sheetViews>
  <sheetFormatPr defaultColWidth="8.6640625" defaultRowHeight="14.4" x14ac:dyDescent="0.3"/>
  <cols>
    <col min="1" max="1" width="3" customWidth="1"/>
    <col min="2" max="2" width="8" customWidth="1"/>
    <col min="3" max="3" width="14" customWidth="1"/>
    <col min="4" max="7" width="16" customWidth="1"/>
    <col min="8" max="8" width="18" customWidth="1"/>
    <col min="9" max="9" width="3" customWidth="1"/>
  </cols>
  <sheetData>
    <row r="1" spans="1:9" ht="36" customHeight="1" x14ac:dyDescent="0.3">
      <c r="A1" s="8" t="s">
        <v>24</v>
      </c>
      <c r="B1" s="8"/>
      <c r="C1" s="8"/>
      <c r="D1" s="8"/>
      <c r="E1" s="8"/>
      <c r="F1" s="8"/>
      <c r="G1" s="8"/>
      <c r="H1" s="8"/>
      <c r="I1" s="8"/>
    </row>
    <row r="2" spans="1:9" ht="15.75" customHeight="1" x14ac:dyDescent="0.3">
      <c r="A2" s="7" t="s">
        <v>25</v>
      </c>
      <c r="B2" s="7"/>
      <c r="C2" s="7"/>
      <c r="D2" s="7"/>
      <c r="E2" s="7"/>
      <c r="F2" s="7"/>
      <c r="G2" s="7"/>
      <c r="H2" s="7"/>
      <c r="I2" s="7"/>
    </row>
    <row r="3" spans="1:9" ht="7.5" customHeight="1" x14ac:dyDescent="0.3"/>
    <row r="4" spans="1:9" ht="21.75" customHeight="1" x14ac:dyDescent="0.3">
      <c r="B4" s="6" t="s">
        <v>26</v>
      </c>
      <c r="C4" s="6"/>
      <c r="D4" s="6"/>
      <c r="E4" s="6"/>
      <c r="F4" s="6"/>
      <c r="G4" s="6"/>
      <c r="H4" s="6"/>
    </row>
    <row r="5" spans="1:9" ht="19.5" customHeight="1" x14ac:dyDescent="0.3">
      <c r="B5" s="15" t="s">
        <v>4</v>
      </c>
      <c r="C5" s="26">
        <f>'EMI Calculator'!C6</f>
        <v>5000000</v>
      </c>
      <c r="E5" s="15" t="s">
        <v>27</v>
      </c>
      <c r="F5" s="27">
        <f>'EMI Calculator'!C7</f>
        <v>8.5000000000000006E-2</v>
      </c>
    </row>
    <row r="6" spans="1:9" ht="19.5" customHeight="1" x14ac:dyDescent="0.3">
      <c r="B6" s="15" t="s">
        <v>28</v>
      </c>
      <c r="C6" s="28">
        <f>'EMI Calculator'!C8</f>
        <v>20</v>
      </c>
      <c r="E6" s="15" t="s">
        <v>5</v>
      </c>
      <c r="F6" s="26">
        <f>'EMI Calculator'!F6</f>
        <v>43391.161668276698</v>
      </c>
    </row>
    <row r="7" spans="1:9" ht="19.5" customHeight="1" x14ac:dyDescent="0.3">
      <c r="B7" s="15" t="s">
        <v>29</v>
      </c>
      <c r="C7" s="29">
        <f>'EMI Calculator'!C9</f>
        <v>46329</v>
      </c>
      <c r="E7" s="15" t="s">
        <v>30</v>
      </c>
      <c r="F7" s="26">
        <f>'EMI Calculator'!C10</f>
        <v>100000</v>
      </c>
    </row>
    <row r="8" spans="1:9" ht="19.5" customHeight="1" x14ac:dyDescent="0.3">
      <c r="B8" s="15" t="s">
        <v>31</v>
      </c>
      <c r="C8" s="28" t="str">
        <f>'EMI Calculator'!C11</f>
        <v>Yearly</v>
      </c>
    </row>
    <row r="10" spans="1:9" ht="24" customHeight="1" x14ac:dyDescent="0.3">
      <c r="B10" s="30" t="s">
        <v>32</v>
      </c>
      <c r="C10" s="30" t="s">
        <v>33</v>
      </c>
      <c r="D10" s="30" t="s">
        <v>34</v>
      </c>
      <c r="E10" s="30" t="s">
        <v>35</v>
      </c>
      <c r="F10" s="30" t="s">
        <v>36</v>
      </c>
      <c r="G10" s="30" t="s">
        <v>37</v>
      </c>
      <c r="H10" s="30" t="s">
        <v>38</v>
      </c>
      <c r="I10" s="30" t="s">
        <v>39</v>
      </c>
    </row>
    <row r="11" spans="1:9" ht="15.75" customHeight="1" x14ac:dyDescent="0.3">
      <c r="B11" s="31">
        <v>1</v>
      </c>
      <c r="C11" s="32">
        <f t="shared" ref="C11:C74" si="0">IFERROR(EDATE($C$7,B11),"")</f>
        <v>46359</v>
      </c>
      <c r="D11" s="33">
        <f t="shared" ref="D11:D74" si="1">IFERROR(IF(H10&gt;0,$F$6,0),0)</f>
        <v>43391.161668276698</v>
      </c>
      <c r="E11" s="34">
        <f t="shared" ref="E11:E74" si="2">IFERROR(D11-F11,0)</f>
        <v>7974.161668276698</v>
      </c>
      <c r="F11" s="35">
        <f>IFERROR(IF(H10&gt;0,ROUND($C$5*$F$5/12,0),0),0)</f>
        <v>35417</v>
      </c>
      <c r="G11" s="36">
        <f t="shared" ref="G11:G74" si="3">IFERROR(IF(H10&lt;=0,0,IF($C$8="Monthly",$F$7,IF(AND($C$8="Yearly",MOD(B11,12)=0),$F$7,IF(AND($C$8="One-time",B11=1),$F$7,0)))),0)</f>
        <v>0</v>
      </c>
      <c r="H11" s="37">
        <f>IFERROR(MAX($C$5-E11-G11,0),0)</f>
        <v>4992025.8383317236</v>
      </c>
      <c r="I11" s="33">
        <f>F11</f>
        <v>35417</v>
      </c>
    </row>
    <row r="12" spans="1:9" ht="15.75" customHeight="1" x14ac:dyDescent="0.3">
      <c r="B12" s="38">
        <v>2</v>
      </c>
      <c r="C12" s="39">
        <f t="shared" si="0"/>
        <v>46390</v>
      </c>
      <c r="D12" s="40">
        <f t="shared" si="1"/>
        <v>43391.161668276698</v>
      </c>
      <c r="E12" s="41">
        <f t="shared" si="2"/>
        <v>8031.161668276698</v>
      </c>
      <c r="F12" s="42">
        <f t="shared" ref="F12:F75" si="4">IFERROR(IF(H11&gt;0,ROUND(H11*$F$5/12,0),0),0)</f>
        <v>35360</v>
      </c>
      <c r="G12" s="43">
        <f t="shared" si="3"/>
        <v>0</v>
      </c>
      <c r="H12" s="44">
        <f t="shared" ref="H12:H75" si="5">IFERROR(MAX(H11-E12-G12,0),0)</f>
        <v>4983994.6766634472</v>
      </c>
      <c r="I12" s="40">
        <f t="shared" ref="I12:I75" si="6">I11+F12</f>
        <v>70777</v>
      </c>
    </row>
    <row r="13" spans="1:9" ht="15.75" customHeight="1" x14ac:dyDescent="0.3">
      <c r="B13" s="31">
        <v>3</v>
      </c>
      <c r="C13" s="32">
        <f t="shared" si="0"/>
        <v>46421</v>
      </c>
      <c r="D13" s="33">
        <f t="shared" si="1"/>
        <v>43391.161668276698</v>
      </c>
      <c r="E13" s="34">
        <f t="shared" si="2"/>
        <v>8088.161668276698</v>
      </c>
      <c r="F13" s="35">
        <f t="shared" si="4"/>
        <v>35303</v>
      </c>
      <c r="G13" s="36">
        <f t="shared" si="3"/>
        <v>0</v>
      </c>
      <c r="H13" s="37">
        <f t="shared" si="5"/>
        <v>4975906.5149951708</v>
      </c>
      <c r="I13" s="33">
        <f t="shared" si="6"/>
        <v>106080</v>
      </c>
    </row>
    <row r="14" spans="1:9" ht="15.75" customHeight="1" x14ac:dyDescent="0.3">
      <c r="B14" s="38">
        <v>4</v>
      </c>
      <c r="C14" s="39">
        <f t="shared" si="0"/>
        <v>46449</v>
      </c>
      <c r="D14" s="40">
        <f t="shared" si="1"/>
        <v>43391.161668276698</v>
      </c>
      <c r="E14" s="41">
        <f t="shared" si="2"/>
        <v>8145.161668276698</v>
      </c>
      <c r="F14" s="42">
        <f t="shared" si="4"/>
        <v>35246</v>
      </c>
      <c r="G14" s="43">
        <f t="shared" si="3"/>
        <v>0</v>
      </c>
      <c r="H14" s="44">
        <f t="shared" si="5"/>
        <v>4967761.3533268943</v>
      </c>
      <c r="I14" s="40">
        <f t="shared" si="6"/>
        <v>141326</v>
      </c>
    </row>
    <row r="15" spans="1:9" ht="15.75" customHeight="1" x14ac:dyDescent="0.3">
      <c r="B15" s="31">
        <v>5</v>
      </c>
      <c r="C15" s="32">
        <f t="shared" si="0"/>
        <v>46480</v>
      </c>
      <c r="D15" s="33">
        <f t="shared" si="1"/>
        <v>43391.161668276698</v>
      </c>
      <c r="E15" s="34">
        <f t="shared" si="2"/>
        <v>8203.161668276698</v>
      </c>
      <c r="F15" s="35">
        <f t="shared" si="4"/>
        <v>35188</v>
      </c>
      <c r="G15" s="36">
        <f t="shared" si="3"/>
        <v>0</v>
      </c>
      <c r="H15" s="37">
        <f t="shared" si="5"/>
        <v>4959558.1916586179</v>
      </c>
      <c r="I15" s="33">
        <f t="shared" si="6"/>
        <v>176514</v>
      </c>
    </row>
    <row r="16" spans="1:9" ht="15.75" customHeight="1" x14ac:dyDescent="0.3">
      <c r="B16" s="38">
        <v>6</v>
      </c>
      <c r="C16" s="39">
        <f t="shared" si="0"/>
        <v>46510</v>
      </c>
      <c r="D16" s="40">
        <f t="shared" si="1"/>
        <v>43391.161668276698</v>
      </c>
      <c r="E16" s="41">
        <f t="shared" si="2"/>
        <v>8261.161668276698</v>
      </c>
      <c r="F16" s="42">
        <f t="shared" si="4"/>
        <v>35130</v>
      </c>
      <c r="G16" s="43">
        <f t="shared" si="3"/>
        <v>0</v>
      </c>
      <c r="H16" s="44">
        <f t="shared" si="5"/>
        <v>4951297.0299903415</v>
      </c>
      <c r="I16" s="40">
        <f t="shared" si="6"/>
        <v>211644</v>
      </c>
    </row>
    <row r="17" spans="2:9" ht="15.75" customHeight="1" x14ac:dyDescent="0.3">
      <c r="B17" s="31">
        <v>7</v>
      </c>
      <c r="C17" s="32">
        <f t="shared" si="0"/>
        <v>46541</v>
      </c>
      <c r="D17" s="33">
        <f t="shared" si="1"/>
        <v>43391.161668276698</v>
      </c>
      <c r="E17" s="34">
        <f t="shared" si="2"/>
        <v>8319.161668276698</v>
      </c>
      <c r="F17" s="35">
        <f t="shared" si="4"/>
        <v>35072</v>
      </c>
      <c r="G17" s="36">
        <f t="shared" si="3"/>
        <v>0</v>
      </c>
      <c r="H17" s="37">
        <f t="shared" si="5"/>
        <v>4942977.8683220651</v>
      </c>
      <c r="I17" s="33">
        <f t="shared" si="6"/>
        <v>246716</v>
      </c>
    </row>
    <row r="18" spans="2:9" ht="15.75" customHeight="1" x14ac:dyDescent="0.3">
      <c r="B18" s="38">
        <v>8</v>
      </c>
      <c r="C18" s="39">
        <f t="shared" si="0"/>
        <v>46571</v>
      </c>
      <c r="D18" s="40">
        <f t="shared" si="1"/>
        <v>43391.161668276698</v>
      </c>
      <c r="E18" s="41">
        <f t="shared" si="2"/>
        <v>8378.161668276698</v>
      </c>
      <c r="F18" s="42">
        <f t="shared" si="4"/>
        <v>35013</v>
      </c>
      <c r="G18" s="43">
        <f t="shared" si="3"/>
        <v>0</v>
      </c>
      <c r="H18" s="44">
        <f t="shared" si="5"/>
        <v>4934599.7066537887</v>
      </c>
      <c r="I18" s="40">
        <f t="shared" si="6"/>
        <v>281729</v>
      </c>
    </row>
    <row r="19" spans="2:9" ht="15.75" customHeight="1" x14ac:dyDescent="0.3">
      <c r="B19" s="31">
        <v>9</v>
      </c>
      <c r="C19" s="32">
        <f t="shared" si="0"/>
        <v>46602</v>
      </c>
      <c r="D19" s="33">
        <f t="shared" si="1"/>
        <v>43391.161668276698</v>
      </c>
      <c r="E19" s="34">
        <f t="shared" si="2"/>
        <v>8438.161668276698</v>
      </c>
      <c r="F19" s="35">
        <f t="shared" si="4"/>
        <v>34953</v>
      </c>
      <c r="G19" s="36">
        <f t="shared" si="3"/>
        <v>0</v>
      </c>
      <c r="H19" s="37">
        <f t="shared" si="5"/>
        <v>4926161.5449855123</v>
      </c>
      <c r="I19" s="33">
        <f t="shared" si="6"/>
        <v>316682</v>
      </c>
    </row>
    <row r="20" spans="2:9" ht="15.75" customHeight="1" x14ac:dyDescent="0.3">
      <c r="B20" s="38">
        <v>10</v>
      </c>
      <c r="C20" s="39">
        <f t="shared" si="0"/>
        <v>46633</v>
      </c>
      <c r="D20" s="40">
        <f t="shared" si="1"/>
        <v>43391.161668276698</v>
      </c>
      <c r="E20" s="41">
        <f t="shared" si="2"/>
        <v>8497.161668276698</v>
      </c>
      <c r="F20" s="42">
        <f t="shared" si="4"/>
        <v>34894</v>
      </c>
      <c r="G20" s="43">
        <f t="shared" si="3"/>
        <v>0</v>
      </c>
      <c r="H20" s="44">
        <f t="shared" si="5"/>
        <v>4917664.3833172359</v>
      </c>
      <c r="I20" s="40">
        <f t="shared" si="6"/>
        <v>351576</v>
      </c>
    </row>
    <row r="21" spans="2:9" ht="15.75" customHeight="1" x14ac:dyDescent="0.3">
      <c r="B21" s="31">
        <v>11</v>
      </c>
      <c r="C21" s="32">
        <f t="shared" si="0"/>
        <v>46663</v>
      </c>
      <c r="D21" s="33">
        <f t="shared" si="1"/>
        <v>43391.161668276698</v>
      </c>
      <c r="E21" s="34">
        <f t="shared" si="2"/>
        <v>8558.161668276698</v>
      </c>
      <c r="F21" s="35">
        <f t="shared" si="4"/>
        <v>34833</v>
      </c>
      <c r="G21" s="36">
        <f t="shared" si="3"/>
        <v>0</v>
      </c>
      <c r="H21" s="37">
        <f t="shared" si="5"/>
        <v>4909106.2216489594</v>
      </c>
      <c r="I21" s="33">
        <f t="shared" si="6"/>
        <v>386409</v>
      </c>
    </row>
    <row r="22" spans="2:9" ht="15.75" customHeight="1" x14ac:dyDescent="0.3">
      <c r="B22" s="38">
        <v>12</v>
      </c>
      <c r="C22" s="39">
        <f t="shared" si="0"/>
        <v>46694</v>
      </c>
      <c r="D22" s="40">
        <f t="shared" si="1"/>
        <v>43391.161668276698</v>
      </c>
      <c r="E22" s="41">
        <f t="shared" si="2"/>
        <v>8618.161668276698</v>
      </c>
      <c r="F22" s="42">
        <f t="shared" si="4"/>
        <v>34773</v>
      </c>
      <c r="G22" s="43">
        <f t="shared" si="3"/>
        <v>100000</v>
      </c>
      <c r="H22" s="44">
        <f t="shared" si="5"/>
        <v>4800488.059980683</v>
      </c>
      <c r="I22" s="40">
        <f t="shared" si="6"/>
        <v>421182</v>
      </c>
    </row>
    <row r="23" spans="2:9" ht="15.75" customHeight="1" x14ac:dyDescent="0.3">
      <c r="B23" s="31">
        <v>13</v>
      </c>
      <c r="C23" s="32">
        <f t="shared" si="0"/>
        <v>46724</v>
      </c>
      <c r="D23" s="33">
        <f t="shared" si="1"/>
        <v>43391.161668276698</v>
      </c>
      <c r="E23" s="34">
        <f t="shared" si="2"/>
        <v>9388.161668276698</v>
      </c>
      <c r="F23" s="35">
        <f t="shared" si="4"/>
        <v>34003</v>
      </c>
      <c r="G23" s="36">
        <f t="shared" si="3"/>
        <v>0</v>
      </c>
      <c r="H23" s="37">
        <f t="shared" si="5"/>
        <v>4791099.8983124066</v>
      </c>
      <c r="I23" s="33">
        <f t="shared" si="6"/>
        <v>455185</v>
      </c>
    </row>
    <row r="24" spans="2:9" ht="15.75" customHeight="1" x14ac:dyDescent="0.3">
      <c r="B24" s="38">
        <v>14</v>
      </c>
      <c r="C24" s="39">
        <f t="shared" si="0"/>
        <v>46755</v>
      </c>
      <c r="D24" s="40">
        <f t="shared" si="1"/>
        <v>43391.161668276698</v>
      </c>
      <c r="E24" s="41">
        <f t="shared" si="2"/>
        <v>9454.161668276698</v>
      </c>
      <c r="F24" s="42">
        <f t="shared" si="4"/>
        <v>33937</v>
      </c>
      <c r="G24" s="43">
        <f t="shared" si="3"/>
        <v>0</v>
      </c>
      <c r="H24" s="44">
        <f t="shared" si="5"/>
        <v>4781645.7366441302</v>
      </c>
      <c r="I24" s="40">
        <f t="shared" si="6"/>
        <v>489122</v>
      </c>
    </row>
    <row r="25" spans="2:9" ht="15.75" customHeight="1" x14ac:dyDescent="0.3">
      <c r="B25" s="31">
        <v>15</v>
      </c>
      <c r="C25" s="32">
        <f t="shared" si="0"/>
        <v>46786</v>
      </c>
      <c r="D25" s="33">
        <f t="shared" si="1"/>
        <v>43391.161668276698</v>
      </c>
      <c r="E25" s="34">
        <f t="shared" si="2"/>
        <v>9521.161668276698</v>
      </c>
      <c r="F25" s="35">
        <f t="shared" si="4"/>
        <v>33870</v>
      </c>
      <c r="G25" s="36">
        <f t="shared" si="3"/>
        <v>0</v>
      </c>
      <c r="H25" s="37">
        <f t="shared" si="5"/>
        <v>4772124.5749758538</v>
      </c>
      <c r="I25" s="33">
        <f t="shared" si="6"/>
        <v>522992</v>
      </c>
    </row>
    <row r="26" spans="2:9" ht="15.75" customHeight="1" x14ac:dyDescent="0.3">
      <c r="B26" s="38">
        <v>16</v>
      </c>
      <c r="C26" s="39">
        <f t="shared" si="0"/>
        <v>46815</v>
      </c>
      <c r="D26" s="40">
        <f t="shared" si="1"/>
        <v>43391.161668276698</v>
      </c>
      <c r="E26" s="41">
        <f t="shared" si="2"/>
        <v>9588.161668276698</v>
      </c>
      <c r="F26" s="42">
        <f t="shared" si="4"/>
        <v>33803</v>
      </c>
      <c r="G26" s="43">
        <f t="shared" si="3"/>
        <v>0</v>
      </c>
      <c r="H26" s="44">
        <f t="shared" si="5"/>
        <v>4762536.4133075774</v>
      </c>
      <c r="I26" s="40">
        <f t="shared" si="6"/>
        <v>556795</v>
      </c>
    </row>
    <row r="27" spans="2:9" ht="15.75" customHeight="1" x14ac:dyDescent="0.3">
      <c r="B27" s="31">
        <v>17</v>
      </c>
      <c r="C27" s="32">
        <f t="shared" si="0"/>
        <v>46846</v>
      </c>
      <c r="D27" s="33">
        <f t="shared" si="1"/>
        <v>43391.161668276698</v>
      </c>
      <c r="E27" s="34">
        <f t="shared" si="2"/>
        <v>9656.161668276698</v>
      </c>
      <c r="F27" s="35">
        <f t="shared" si="4"/>
        <v>33735</v>
      </c>
      <c r="G27" s="36">
        <f t="shared" si="3"/>
        <v>0</v>
      </c>
      <c r="H27" s="37">
        <f t="shared" si="5"/>
        <v>4752880.251639301</v>
      </c>
      <c r="I27" s="33">
        <f t="shared" si="6"/>
        <v>590530</v>
      </c>
    </row>
    <row r="28" spans="2:9" ht="15.75" customHeight="1" x14ac:dyDescent="0.3">
      <c r="B28" s="38">
        <v>18</v>
      </c>
      <c r="C28" s="39">
        <f t="shared" si="0"/>
        <v>46876</v>
      </c>
      <c r="D28" s="40">
        <f t="shared" si="1"/>
        <v>43391.161668276698</v>
      </c>
      <c r="E28" s="41">
        <f t="shared" si="2"/>
        <v>9725.161668276698</v>
      </c>
      <c r="F28" s="42">
        <f t="shared" si="4"/>
        <v>33666</v>
      </c>
      <c r="G28" s="43">
        <f t="shared" si="3"/>
        <v>0</v>
      </c>
      <c r="H28" s="44">
        <f t="shared" si="5"/>
        <v>4743155.0899710245</v>
      </c>
      <c r="I28" s="40">
        <f t="shared" si="6"/>
        <v>624196</v>
      </c>
    </row>
    <row r="29" spans="2:9" ht="15.75" customHeight="1" x14ac:dyDescent="0.3">
      <c r="B29" s="31">
        <v>19</v>
      </c>
      <c r="C29" s="32">
        <f t="shared" si="0"/>
        <v>46907</v>
      </c>
      <c r="D29" s="33">
        <f t="shared" si="1"/>
        <v>43391.161668276698</v>
      </c>
      <c r="E29" s="34">
        <f t="shared" si="2"/>
        <v>9794.161668276698</v>
      </c>
      <c r="F29" s="35">
        <f t="shared" si="4"/>
        <v>33597</v>
      </c>
      <c r="G29" s="36">
        <f t="shared" si="3"/>
        <v>0</v>
      </c>
      <c r="H29" s="37">
        <f t="shared" si="5"/>
        <v>4733360.9283027481</v>
      </c>
      <c r="I29" s="33">
        <f t="shared" si="6"/>
        <v>657793</v>
      </c>
    </row>
    <row r="30" spans="2:9" ht="15.75" customHeight="1" x14ac:dyDescent="0.3">
      <c r="B30" s="38">
        <v>20</v>
      </c>
      <c r="C30" s="39">
        <f t="shared" si="0"/>
        <v>46937</v>
      </c>
      <c r="D30" s="40">
        <f t="shared" si="1"/>
        <v>43391.161668276698</v>
      </c>
      <c r="E30" s="41">
        <f t="shared" si="2"/>
        <v>9863.161668276698</v>
      </c>
      <c r="F30" s="42">
        <f t="shared" si="4"/>
        <v>33528</v>
      </c>
      <c r="G30" s="43">
        <f t="shared" si="3"/>
        <v>0</v>
      </c>
      <c r="H30" s="44">
        <f t="shared" si="5"/>
        <v>4723497.7666344717</v>
      </c>
      <c r="I30" s="40">
        <f t="shared" si="6"/>
        <v>691321</v>
      </c>
    </row>
    <row r="31" spans="2:9" ht="15.75" customHeight="1" x14ac:dyDescent="0.3">
      <c r="B31" s="31">
        <v>21</v>
      </c>
      <c r="C31" s="32">
        <f t="shared" si="0"/>
        <v>46968</v>
      </c>
      <c r="D31" s="33">
        <f t="shared" si="1"/>
        <v>43391.161668276698</v>
      </c>
      <c r="E31" s="34">
        <f t="shared" si="2"/>
        <v>9933.161668276698</v>
      </c>
      <c r="F31" s="35">
        <f t="shared" si="4"/>
        <v>33458</v>
      </c>
      <c r="G31" s="36">
        <f t="shared" si="3"/>
        <v>0</v>
      </c>
      <c r="H31" s="37">
        <f t="shared" si="5"/>
        <v>4713564.6049661953</v>
      </c>
      <c r="I31" s="33">
        <f t="shared" si="6"/>
        <v>724779</v>
      </c>
    </row>
    <row r="32" spans="2:9" ht="15.75" customHeight="1" x14ac:dyDescent="0.3">
      <c r="B32" s="38">
        <v>22</v>
      </c>
      <c r="C32" s="39">
        <f t="shared" si="0"/>
        <v>46999</v>
      </c>
      <c r="D32" s="40">
        <f t="shared" si="1"/>
        <v>43391.161668276698</v>
      </c>
      <c r="E32" s="41">
        <f t="shared" si="2"/>
        <v>10003.161668276698</v>
      </c>
      <c r="F32" s="42">
        <f t="shared" si="4"/>
        <v>33388</v>
      </c>
      <c r="G32" s="43">
        <f t="shared" si="3"/>
        <v>0</v>
      </c>
      <c r="H32" s="44">
        <f t="shared" si="5"/>
        <v>4703561.4432979189</v>
      </c>
      <c r="I32" s="40">
        <f t="shared" si="6"/>
        <v>758167</v>
      </c>
    </row>
    <row r="33" spans="2:9" ht="15.75" customHeight="1" x14ac:dyDescent="0.3">
      <c r="B33" s="31">
        <v>23</v>
      </c>
      <c r="C33" s="32">
        <f t="shared" si="0"/>
        <v>47029</v>
      </c>
      <c r="D33" s="33">
        <f t="shared" si="1"/>
        <v>43391.161668276698</v>
      </c>
      <c r="E33" s="34">
        <f t="shared" si="2"/>
        <v>10074.161668276698</v>
      </c>
      <c r="F33" s="35">
        <f t="shared" si="4"/>
        <v>33317</v>
      </c>
      <c r="G33" s="36">
        <f t="shared" si="3"/>
        <v>0</v>
      </c>
      <c r="H33" s="37">
        <f t="shared" si="5"/>
        <v>4693487.2816296425</v>
      </c>
      <c r="I33" s="33">
        <f t="shared" si="6"/>
        <v>791484</v>
      </c>
    </row>
    <row r="34" spans="2:9" ht="15.75" customHeight="1" x14ac:dyDescent="0.3">
      <c r="B34" s="38">
        <v>24</v>
      </c>
      <c r="C34" s="39">
        <f t="shared" si="0"/>
        <v>47060</v>
      </c>
      <c r="D34" s="40">
        <f t="shared" si="1"/>
        <v>43391.161668276698</v>
      </c>
      <c r="E34" s="41">
        <f t="shared" si="2"/>
        <v>10145.161668276698</v>
      </c>
      <c r="F34" s="42">
        <f t="shared" si="4"/>
        <v>33246</v>
      </c>
      <c r="G34" s="43">
        <f t="shared" si="3"/>
        <v>100000</v>
      </c>
      <c r="H34" s="44">
        <f t="shared" si="5"/>
        <v>4583342.1199613661</v>
      </c>
      <c r="I34" s="40">
        <f t="shared" si="6"/>
        <v>824730</v>
      </c>
    </row>
    <row r="35" spans="2:9" ht="15.75" customHeight="1" x14ac:dyDescent="0.3">
      <c r="B35" s="31">
        <v>25</v>
      </c>
      <c r="C35" s="32">
        <f t="shared" si="0"/>
        <v>47090</v>
      </c>
      <c r="D35" s="33">
        <f t="shared" si="1"/>
        <v>43391.161668276698</v>
      </c>
      <c r="E35" s="34">
        <f t="shared" si="2"/>
        <v>10926.161668276698</v>
      </c>
      <c r="F35" s="35">
        <f t="shared" si="4"/>
        <v>32465</v>
      </c>
      <c r="G35" s="36">
        <f t="shared" si="3"/>
        <v>0</v>
      </c>
      <c r="H35" s="37">
        <f t="shared" si="5"/>
        <v>4572415.9582930896</v>
      </c>
      <c r="I35" s="33">
        <f t="shared" si="6"/>
        <v>857195</v>
      </c>
    </row>
    <row r="36" spans="2:9" ht="15.75" customHeight="1" x14ac:dyDescent="0.3">
      <c r="B36" s="38">
        <v>26</v>
      </c>
      <c r="C36" s="39">
        <f t="shared" si="0"/>
        <v>47121</v>
      </c>
      <c r="D36" s="40">
        <f t="shared" si="1"/>
        <v>43391.161668276698</v>
      </c>
      <c r="E36" s="41">
        <f t="shared" si="2"/>
        <v>11003.161668276698</v>
      </c>
      <c r="F36" s="42">
        <f t="shared" si="4"/>
        <v>32388</v>
      </c>
      <c r="G36" s="43">
        <f t="shared" si="3"/>
        <v>0</v>
      </c>
      <c r="H36" s="44">
        <f t="shared" si="5"/>
        <v>4561412.7966248132</v>
      </c>
      <c r="I36" s="40">
        <f t="shared" si="6"/>
        <v>889583</v>
      </c>
    </row>
    <row r="37" spans="2:9" ht="15.75" customHeight="1" x14ac:dyDescent="0.3">
      <c r="B37" s="31">
        <v>27</v>
      </c>
      <c r="C37" s="32">
        <f t="shared" si="0"/>
        <v>47152</v>
      </c>
      <c r="D37" s="33">
        <f t="shared" si="1"/>
        <v>43391.161668276698</v>
      </c>
      <c r="E37" s="34">
        <f t="shared" si="2"/>
        <v>11081.161668276698</v>
      </c>
      <c r="F37" s="35">
        <f t="shared" si="4"/>
        <v>32310</v>
      </c>
      <c r="G37" s="36">
        <f t="shared" si="3"/>
        <v>0</v>
      </c>
      <c r="H37" s="37">
        <f t="shared" si="5"/>
        <v>4550331.6349565368</v>
      </c>
      <c r="I37" s="33">
        <f t="shared" si="6"/>
        <v>921893</v>
      </c>
    </row>
    <row r="38" spans="2:9" ht="15.75" customHeight="1" x14ac:dyDescent="0.3">
      <c r="B38" s="38">
        <v>28</v>
      </c>
      <c r="C38" s="39">
        <f t="shared" si="0"/>
        <v>47180</v>
      </c>
      <c r="D38" s="40">
        <f t="shared" si="1"/>
        <v>43391.161668276698</v>
      </c>
      <c r="E38" s="41">
        <f t="shared" si="2"/>
        <v>11159.161668276698</v>
      </c>
      <c r="F38" s="42">
        <f t="shared" si="4"/>
        <v>32232</v>
      </c>
      <c r="G38" s="43">
        <f t="shared" si="3"/>
        <v>0</v>
      </c>
      <c r="H38" s="44">
        <f t="shared" si="5"/>
        <v>4539172.4732882604</v>
      </c>
      <c r="I38" s="40">
        <f t="shared" si="6"/>
        <v>954125</v>
      </c>
    </row>
    <row r="39" spans="2:9" ht="15.75" customHeight="1" x14ac:dyDescent="0.3">
      <c r="B39" s="31">
        <v>29</v>
      </c>
      <c r="C39" s="32">
        <f t="shared" si="0"/>
        <v>47211</v>
      </c>
      <c r="D39" s="33">
        <f t="shared" si="1"/>
        <v>43391.161668276698</v>
      </c>
      <c r="E39" s="34">
        <f t="shared" si="2"/>
        <v>11239.161668276698</v>
      </c>
      <c r="F39" s="35">
        <f t="shared" si="4"/>
        <v>32152</v>
      </c>
      <c r="G39" s="36">
        <f t="shared" si="3"/>
        <v>0</v>
      </c>
      <c r="H39" s="37">
        <f t="shared" si="5"/>
        <v>4527933.311619984</v>
      </c>
      <c r="I39" s="33">
        <f t="shared" si="6"/>
        <v>986277</v>
      </c>
    </row>
    <row r="40" spans="2:9" ht="15.75" customHeight="1" x14ac:dyDescent="0.3">
      <c r="B40" s="38">
        <v>30</v>
      </c>
      <c r="C40" s="39">
        <f t="shared" si="0"/>
        <v>47241</v>
      </c>
      <c r="D40" s="40">
        <f t="shared" si="1"/>
        <v>43391.161668276698</v>
      </c>
      <c r="E40" s="41">
        <f t="shared" si="2"/>
        <v>11318.161668276698</v>
      </c>
      <c r="F40" s="42">
        <f t="shared" si="4"/>
        <v>32073</v>
      </c>
      <c r="G40" s="43">
        <f t="shared" si="3"/>
        <v>0</v>
      </c>
      <c r="H40" s="44">
        <f t="shared" si="5"/>
        <v>4516615.1499517076</v>
      </c>
      <c r="I40" s="40">
        <f t="shared" si="6"/>
        <v>1018350</v>
      </c>
    </row>
    <row r="41" spans="2:9" ht="15.75" customHeight="1" x14ac:dyDescent="0.3">
      <c r="B41" s="31">
        <v>31</v>
      </c>
      <c r="C41" s="32">
        <f t="shared" si="0"/>
        <v>47272</v>
      </c>
      <c r="D41" s="33">
        <f t="shared" si="1"/>
        <v>43391.161668276698</v>
      </c>
      <c r="E41" s="34">
        <f t="shared" si="2"/>
        <v>11398.161668276698</v>
      </c>
      <c r="F41" s="35">
        <f t="shared" si="4"/>
        <v>31993</v>
      </c>
      <c r="G41" s="36">
        <f t="shared" si="3"/>
        <v>0</v>
      </c>
      <c r="H41" s="37">
        <f t="shared" si="5"/>
        <v>4505216.9882834312</v>
      </c>
      <c r="I41" s="33">
        <f t="shared" si="6"/>
        <v>1050343</v>
      </c>
    </row>
    <row r="42" spans="2:9" ht="15.75" customHeight="1" x14ac:dyDescent="0.3">
      <c r="B42" s="38">
        <v>32</v>
      </c>
      <c r="C42" s="39">
        <f t="shared" si="0"/>
        <v>47302</v>
      </c>
      <c r="D42" s="40">
        <f t="shared" si="1"/>
        <v>43391.161668276698</v>
      </c>
      <c r="E42" s="41">
        <f t="shared" si="2"/>
        <v>11479.161668276698</v>
      </c>
      <c r="F42" s="42">
        <f t="shared" si="4"/>
        <v>31912</v>
      </c>
      <c r="G42" s="43">
        <f t="shared" si="3"/>
        <v>0</v>
      </c>
      <c r="H42" s="44">
        <f t="shared" si="5"/>
        <v>4493737.8266151547</v>
      </c>
      <c r="I42" s="40">
        <f t="shared" si="6"/>
        <v>1082255</v>
      </c>
    </row>
    <row r="43" spans="2:9" ht="15.75" customHeight="1" x14ac:dyDescent="0.3">
      <c r="B43" s="31">
        <v>33</v>
      </c>
      <c r="C43" s="32">
        <f t="shared" si="0"/>
        <v>47333</v>
      </c>
      <c r="D43" s="33">
        <f t="shared" si="1"/>
        <v>43391.161668276698</v>
      </c>
      <c r="E43" s="34">
        <f t="shared" si="2"/>
        <v>11560.161668276698</v>
      </c>
      <c r="F43" s="35">
        <f t="shared" si="4"/>
        <v>31831</v>
      </c>
      <c r="G43" s="36">
        <f t="shared" si="3"/>
        <v>0</v>
      </c>
      <c r="H43" s="37">
        <f t="shared" si="5"/>
        <v>4482177.6649468783</v>
      </c>
      <c r="I43" s="33">
        <f t="shared" si="6"/>
        <v>1114086</v>
      </c>
    </row>
    <row r="44" spans="2:9" ht="15.75" customHeight="1" x14ac:dyDescent="0.3">
      <c r="B44" s="38">
        <v>34</v>
      </c>
      <c r="C44" s="39">
        <f t="shared" si="0"/>
        <v>47364</v>
      </c>
      <c r="D44" s="40">
        <f t="shared" si="1"/>
        <v>43391.161668276698</v>
      </c>
      <c r="E44" s="41">
        <f t="shared" si="2"/>
        <v>11642.161668276698</v>
      </c>
      <c r="F44" s="42">
        <f t="shared" si="4"/>
        <v>31749</v>
      </c>
      <c r="G44" s="43">
        <f t="shared" si="3"/>
        <v>0</v>
      </c>
      <c r="H44" s="44">
        <f t="shared" si="5"/>
        <v>4470535.5032786019</v>
      </c>
      <c r="I44" s="40">
        <f t="shared" si="6"/>
        <v>1145835</v>
      </c>
    </row>
    <row r="45" spans="2:9" ht="15.75" customHeight="1" x14ac:dyDescent="0.3">
      <c r="B45" s="31">
        <v>35</v>
      </c>
      <c r="C45" s="32">
        <f t="shared" si="0"/>
        <v>47394</v>
      </c>
      <c r="D45" s="33">
        <f t="shared" si="1"/>
        <v>43391.161668276698</v>
      </c>
      <c r="E45" s="34">
        <f t="shared" si="2"/>
        <v>11725.161668276698</v>
      </c>
      <c r="F45" s="35">
        <f t="shared" si="4"/>
        <v>31666</v>
      </c>
      <c r="G45" s="36">
        <f t="shared" si="3"/>
        <v>0</v>
      </c>
      <c r="H45" s="37">
        <f t="shared" si="5"/>
        <v>4458810.3416103255</v>
      </c>
      <c r="I45" s="33">
        <f t="shared" si="6"/>
        <v>1177501</v>
      </c>
    </row>
    <row r="46" spans="2:9" ht="15.75" customHeight="1" x14ac:dyDescent="0.3">
      <c r="B46" s="38">
        <v>36</v>
      </c>
      <c r="C46" s="39">
        <f t="shared" si="0"/>
        <v>47425</v>
      </c>
      <c r="D46" s="40">
        <f t="shared" si="1"/>
        <v>43391.161668276698</v>
      </c>
      <c r="E46" s="41">
        <f t="shared" si="2"/>
        <v>11808.161668276698</v>
      </c>
      <c r="F46" s="42">
        <f t="shared" si="4"/>
        <v>31583</v>
      </c>
      <c r="G46" s="43">
        <f t="shared" si="3"/>
        <v>100000</v>
      </c>
      <c r="H46" s="44">
        <f t="shared" si="5"/>
        <v>4347002.1799420491</v>
      </c>
      <c r="I46" s="40">
        <f t="shared" si="6"/>
        <v>1209084</v>
      </c>
    </row>
    <row r="47" spans="2:9" ht="15.75" customHeight="1" x14ac:dyDescent="0.3">
      <c r="B47" s="31">
        <v>37</v>
      </c>
      <c r="C47" s="32">
        <f t="shared" si="0"/>
        <v>47455</v>
      </c>
      <c r="D47" s="33">
        <f t="shared" si="1"/>
        <v>43391.161668276698</v>
      </c>
      <c r="E47" s="34">
        <f t="shared" si="2"/>
        <v>12600.161668276698</v>
      </c>
      <c r="F47" s="35">
        <f t="shared" si="4"/>
        <v>30791</v>
      </c>
      <c r="G47" s="36">
        <f t="shared" si="3"/>
        <v>0</v>
      </c>
      <c r="H47" s="37">
        <f t="shared" si="5"/>
        <v>4334402.0182737727</v>
      </c>
      <c r="I47" s="33">
        <f t="shared" si="6"/>
        <v>1239875</v>
      </c>
    </row>
    <row r="48" spans="2:9" ht="15.75" customHeight="1" x14ac:dyDescent="0.3">
      <c r="B48" s="38">
        <v>38</v>
      </c>
      <c r="C48" s="39">
        <f t="shared" si="0"/>
        <v>47486</v>
      </c>
      <c r="D48" s="40">
        <f t="shared" si="1"/>
        <v>43391.161668276698</v>
      </c>
      <c r="E48" s="41">
        <f t="shared" si="2"/>
        <v>12689.161668276698</v>
      </c>
      <c r="F48" s="42">
        <f t="shared" si="4"/>
        <v>30702</v>
      </c>
      <c r="G48" s="43">
        <f t="shared" si="3"/>
        <v>0</v>
      </c>
      <c r="H48" s="44">
        <f t="shared" si="5"/>
        <v>4321712.8566054963</v>
      </c>
      <c r="I48" s="40">
        <f t="shared" si="6"/>
        <v>1270577</v>
      </c>
    </row>
    <row r="49" spans="2:9" ht="15.75" customHeight="1" x14ac:dyDescent="0.3">
      <c r="B49" s="31">
        <v>39</v>
      </c>
      <c r="C49" s="32">
        <f t="shared" si="0"/>
        <v>47517</v>
      </c>
      <c r="D49" s="33">
        <f t="shared" si="1"/>
        <v>43391.161668276698</v>
      </c>
      <c r="E49" s="34">
        <f t="shared" si="2"/>
        <v>12779.161668276698</v>
      </c>
      <c r="F49" s="35">
        <f t="shared" si="4"/>
        <v>30612</v>
      </c>
      <c r="G49" s="36">
        <f t="shared" si="3"/>
        <v>0</v>
      </c>
      <c r="H49" s="37">
        <f t="shared" si="5"/>
        <v>4308933.6949372198</v>
      </c>
      <c r="I49" s="33">
        <f t="shared" si="6"/>
        <v>1301189</v>
      </c>
    </row>
    <row r="50" spans="2:9" ht="15.75" customHeight="1" x14ac:dyDescent="0.3">
      <c r="B50" s="38">
        <v>40</v>
      </c>
      <c r="C50" s="39">
        <f t="shared" si="0"/>
        <v>47545</v>
      </c>
      <c r="D50" s="40">
        <f t="shared" si="1"/>
        <v>43391.161668276698</v>
      </c>
      <c r="E50" s="41">
        <f t="shared" si="2"/>
        <v>12869.161668276698</v>
      </c>
      <c r="F50" s="42">
        <f t="shared" si="4"/>
        <v>30522</v>
      </c>
      <c r="G50" s="43">
        <f t="shared" si="3"/>
        <v>0</v>
      </c>
      <c r="H50" s="44">
        <f t="shared" si="5"/>
        <v>4296064.5332689434</v>
      </c>
      <c r="I50" s="40">
        <f t="shared" si="6"/>
        <v>1331711</v>
      </c>
    </row>
    <row r="51" spans="2:9" ht="15.75" customHeight="1" x14ac:dyDescent="0.3">
      <c r="B51" s="31">
        <v>41</v>
      </c>
      <c r="C51" s="32">
        <f t="shared" si="0"/>
        <v>47576</v>
      </c>
      <c r="D51" s="33">
        <f t="shared" si="1"/>
        <v>43391.161668276698</v>
      </c>
      <c r="E51" s="34">
        <f t="shared" si="2"/>
        <v>12961.161668276698</v>
      </c>
      <c r="F51" s="35">
        <f t="shared" si="4"/>
        <v>30430</v>
      </c>
      <c r="G51" s="36">
        <f t="shared" si="3"/>
        <v>0</v>
      </c>
      <c r="H51" s="37">
        <f t="shared" si="5"/>
        <v>4283103.371600667</v>
      </c>
      <c r="I51" s="33">
        <f t="shared" si="6"/>
        <v>1362141</v>
      </c>
    </row>
    <row r="52" spans="2:9" ht="15.75" customHeight="1" x14ac:dyDescent="0.3">
      <c r="B52" s="38">
        <v>42</v>
      </c>
      <c r="C52" s="39">
        <f t="shared" si="0"/>
        <v>47606</v>
      </c>
      <c r="D52" s="40">
        <f t="shared" si="1"/>
        <v>43391.161668276698</v>
      </c>
      <c r="E52" s="41">
        <f t="shared" si="2"/>
        <v>13052.161668276698</v>
      </c>
      <c r="F52" s="42">
        <f t="shared" si="4"/>
        <v>30339</v>
      </c>
      <c r="G52" s="43">
        <f t="shared" si="3"/>
        <v>0</v>
      </c>
      <c r="H52" s="44">
        <f t="shared" si="5"/>
        <v>4270051.2099323906</v>
      </c>
      <c r="I52" s="40">
        <f t="shared" si="6"/>
        <v>1392480</v>
      </c>
    </row>
    <row r="53" spans="2:9" ht="15.75" customHeight="1" x14ac:dyDescent="0.3">
      <c r="B53" s="31">
        <v>43</v>
      </c>
      <c r="C53" s="32">
        <f t="shared" si="0"/>
        <v>47637</v>
      </c>
      <c r="D53" s="33">
        <f t="shared" si="1"/>
        <v>43391.161668276698</v>
      </c>
      <c r="E53" s="34">
        <f t="shared" si="2"/>
        <v>13145.161668276698</v>
      </c>
      <c r="F53" s="35">
        <f t="shared" si="4"/>
        <v>30246</v>
      </c>
      <c r="G53" s="36">
        <f t="shared" si="3"/>
        <v>0</v>
      </c>
      <c r="H53" s="37">
        <f t="shared" si="5"/>
        <v>4256906.0482641142</v>
      </c>
      <c r="I53" s="33">
        <f t="shared" si="6"/>
        <v>1422726</v>
      </c>
    </row>
    <row r="54" spans="2:9" ht="15.75" customHeight="1" x14ac:dyDescent="0.3">
      <c r="B54" s="38">
        <v>44</v>
      </c>
      <c r="C54" s="39">
        <f t="shared" si="0"/>
        <v>47667</v>
      </c>
      <c r="D54" s="40">
        <f t="shared" si="1"/>
        <v>43391.161668276698</v>
      </c>
      <c r="E54" s="41">
        <f t="shared" si="2"/>
        <v>13238.161668276698</v>
      </c>
      <c r="F54" s="42">
        <f t="shared" si="4"/>
        <v>30153</v>
      </c>
      <c r="G54" s="43">
        <f t="shared" si="3"/>
        <v>0</v>
      </c>
      <c r="H54" s="44">
        <f t="shared" si="5"/>
        <v>4243667.8865958378</v>
      </c>
      <c r="I54" s="40">
        <f t="shared" si="6"/>
        <v>1452879</v>
      </c>
    </row>
    <row r="55" spans="2:9" ht="15.75" customHeight="1" x14ac:dyDescent="0.3">
      <c r="B55" s="31">
        <v>45</v>
      </c>
      <c r="C55" s="32">
        <f t="shared" si="0"/>
        <v>47698</v>
      </c>
      <c r="D55" s="33">
        <f t="shared" si="1"/>
        <v>43391.161668276698</v>
      </c>
      <c r="E55" s="34">
        <f t="shared" si="2"/>
        <v>13332.161668276698</v>
      </c>
      <c r="F55" s="35">
        <f t="shared" si="4"/>
        <v>30059</v>
      </c>
      <c r="G55" s="36">
        <f t="shared" si="3"/>
        <v>0</v>
      </c>
      <c r="H55" s="37">
        <f t="shared" si="5"/>
        <v>4230335.7249275614</v>
      </c>
      <c r="I55" s="33">
        <f t="shared" si="6"/>
        <v>1482938</v>
      </c>
    </row>
    <row r="56" spans="2:9" ht="15.75" customHeight="1" x14ac:dyDescent="0.3">
      <c r="B56" s="38">
        <v>46</v>
      </c>
      <c r="C56" s="39">
        <f t="shared" si="0"/>
        <v>47729</v>
      </c>
      <c r="D56" s="40">
        <f t="shared" si="1"/>
        <v>43391.161668276698</v>
      </c>
      <c r="E56" s="41">
        <f t="shared" si="2"/>
        <v>13426.161668276698</v>
      </c>
      <c r="F56" s="42">
        <f t="shared" si="4"/>
        <v>29965</v>
      </c>
      <c r="G56" s="43">
        <f t="shared" si="3"/>
        <v>0</v>
      </c>
      <c r="H56" s="44">
        <f t="shared" si="5"/>
        <v>4216909.5632592849</v>
      </c>
      <c r="I56" s="40">
        <f t="shared" si="6"/>
        <v>1512903</v>
      </c>
    </row>
    <row r="57" spans="2:9" ht="15.75" customHeight="1" x14ac:dyDescent="0.3">
      <c r="B57" s="31">
        <v>47</v>
      </c>
      <c r="C57" s="32">
        <f t="shared" si="0"/>
        <v>47759</v>
      </c>
      <c r="D57" s="33">
        <f t="shared" si="1"/>
        <v>43391.161668276698</v>
      </c>
      <c r="E57" s="34">
        <f t="shared" si="2"/>
        <v>13521.161668276698</v>
      </c>
      <c r="F57" s="35">
        <f t="shared" si="4"/>
        <v>29870</v>
      </c>
      <c r="G57" s="36">
        <f t="shared" si="3"/>
        <v>0</v>
      </c>
      <c r="H57" s="37">
        <f t="shared" si="5"/>
        <v>4203388.4015910085</v>
      </c>
      <c r="I57" s="33">
        <f t="shared" si="6"/>
        <v>1542773</v>
      </c>
    </row>
    <row r="58" spans="2:9" ht="15.75" customHeight="1" x14ac:dyDescent="0.3">
      <c r="B58" s="38">
        <v>48</v>
      </c>
      <c r="C58" s="39">
        <f t="shared" si="0"/>
        <v>47790</v>
      </c>
      <c r="D58" s="40">
        <f t="shared" si="1"/>
        <v>43391.161668276698</v>
      </c>
      <c r="E58" s="41">
        <f t="shared" si="2"/>
        <v>13617.161668276698</v>
      </c>
      <c r="F58" s="42">
        <f t="shared" si="4"/>
        <v>29774</v>
      </c>
      <c r="G58" s="43">
        <f t="shared" si="3"/>
        <v>100000</v>
      </c>
      <c r="H58" s="44">
        <f t="shared" si="5"/>
        <v>4089771.2399227316</v>
      </c>
      <c r="I58" s="40">
        <f t="shared" si="6"/>
        <v>1572547</v>
      </c>
    </row>
    <row r="59" spans="2:9" ht="15.75" customHeight="1" x14ac:dyDescent="0.3">
      <c r="B59" s="31">
        <v>49</v>
      </c>
      <c r="C59" s="32">
        <f t="shared" si="0"/>
        <v>47820</v>
      </c>
      <c r="D59" s="33">
        <f t="shared" si="1"/>
        <v>43391.161668276698</v>
      </c>
      <c r="E59" s="34">
        <f t="shared" si="2"/>
        <v>14422.161668276698</v>
      </c>
      <c r="F59" s="35">
        <f t="shared" si="4"/>
        <v>28969</v>
      </c>
      <c r="G59" s="36">
        <f t="shared" si="3"/>
        <v>0</v>
      </c>
      <c r="H59" s="37">
        <f t="shared" si="5"/>
        <v>4075349.0782544548</v>
      </c>
      <c r="I59" s="33">
        <f t="shared" si="6"/>
        <v>1601516</v>
      </c>
    </row>
    <row r="60" spans="2:9" ht="15.75" customHeight="1" x14ac:dyDescent="0.3">
      <c r="B60" s="38">
        <v>50</v>
      </c>
      <c r="C60" s="39">
        <f t="shared" si="0"/>
        <v>47851</v>
      </c>
      <c r="D60" s="40">
        <f t="shared" si="1"/>
        <v>43391.161668276698</v>
      </c>
      <c r="E60" s="41">
        <f t="shared" si="2"/>
        <v>14524.161668276698</v>
      </c>
      <c r="F60" s="42">
        <f t="shared" si="4"/>
        <v>28867</v>
      </c>
      <c r="G60" s="43">
        <f t="shared" si="3"/>
        <v>0</v>
      </c>
      <c r="H60" s="44">
        <f t="shared" si="5"/>
        <v>4060824.9165861779</v>
      </c>
      <c r="I60" s="40">
        <f t="shared" si="6"/>
        <v>1630383</v>
      </c>
    </row>
    <row r="61" spans="2:9" ht="15.75" customHeight="1" x14ac:dyDescent="0.3">
      <c r="B61" s="31">
        <v>51</v>
      </c>
      <c r="C61" s="32">
        <f t="shared" si="0"/>
        <v>47882</v>
      </c>
      <c r="D61" s="33">
        <f t="shared" si="1"/>
        <v>43391.161668276698</v>
      </c>
      <c r="E61" s="34">
        <f t="shared" si="2"/>
        <v>14627.161668276698</v>
      </c>
      <c r="F61" s="35">
        <f t="shared" si="4"/>
        <v>28764</v>
      </c>
      <c r="G61" s="36">
        <f t="shared" si="3"/>
        <v>0</v>
      </c>
      <c r="H61" s="37">
        <f t="shared" si="5"/>
        <v>4046197.754917901</v>
      </c>
      <c r="I61" s="33">
        <f t="shared" si="6"/>
        <v>1659147</v>
      </c>
    </row>
    <row r="62" spans="2:9" ht="15.75" customHeight="1" x14ac:dyDescent="0.3">
      <c r="B62" s="38">
        <v>52</v>
      </c>
      <c r="C62" s="39">
        <f t="shared" si="0"/>
        <v>47910</v>
      </c>
      <c r="D62" s="40">
        <f t="shared" si="1"/>
        <v>43391.161668276698</v>
      </c>
      <c r="E62" s="41">
        <f t="shared" si="2"/>
        <v>14730.161668276698</v>
      </c>
      <c r="F62" s="42">
        <f t="shared" si="4"/>
        <v>28661</v>
      </c>
      <c r="G62" s="43">
        <f t="shared" si="3"/>
        <v>0</v>
      </c>
      <c r="H62" s="44">
        <f t="shared" si="5"/>
        <v>4031467.5932496241</v>
      </c>
      <c r="I62" s="40">
        <f t="shared" si="6"/>
        <v>1687808</v>
      </c>
    </row>
    <row r="63" spans="2:9" ht="15.75" customHeight="1" x14ac:dyDescent="0.3">
      <c r="B63" s="31">
        <v>53</v>
      </c>
      <c r="C63" s="32">
        <f t="shared" si="0"/>
        <v>47941</v>
      </c>
      <c r="D63" s="33">
        <f t="shared" si="1"/>
        <v>43391.161668276698</v>
      </c>
      <c r="E63" s="34">
        <f t="shared" si="2"/>
        <v>14835.161668276698</v>
      </c>
      <c r="F63" s="35">
        <f t="shared" si="4"/>
        <v>28556</v>
      </c>
      <c r="G63" s="36">
        <f t="shared" si="3"/>
        <v>0</v>
      </c>
      <c r="H63" s="37">
        <f t="shared" si="5"/>
        <v>4016632.4315813472</v>
      </c>
      <c r="I63" s="33">
        <f t="shared" si="6"/>
        <v>1716364</v>
      </c>
    </row>
    <row r="64" spans="2:9" ht="15.75" customHeight="1" x14ac:dyDescent="0.3">
      <c r="B64" s="38">
        <v>54</v>
      </c>
      <c r="C64" s="39">
        <f t="shared" si="0"/>
        <v>47971</v>
      </c>
      <c r="D64" s="40">
        <f t="shared" si="1"/>
        <v>43391.161668276698</v>
      </c>
      <c r="E64" s="41">
        <f t="shared" si="2"/>
        <v>14940.161668276698</v>
      </c>
      <c r="F64" s="42">
        <f t="shared" si="4"/>
        <v>28451</v>
      </c>
      <c r="G64" s="43">
        <f t="shared" si="3"/>
        <v>0</v>
      </c>
      <c r="H64" s="44">
        <f t="shared" si="5"/>
        <v>4001692.2699130704</v>
      </c>
      <c r="I64" s="40">
        <f t="shared" si="6"/>
        <v>1744815</v>
      </c>
    </row>
    <row r="65" spans="2:9" ht="15.75" customHeight="1" x14ac:dyDescent="0.3">
      <c r="B65" s="31">
        <v>55</v>
      </c>
      <c r="C65" s="32">
        <f t="shared" si="0"/>
        <v>48002</v>
      </c>
      <c r="D65" s="33">
        <f t="shared" si="1"/>
        <v>43391.161668276698</v>
      </c>
      <c r="E65" s="34">
        <f t="shared" si="2"/>
        <v>15046.161668276698</v>
      </c>
      <c r="F65" s="35">
        <f t="shared" si="4"/>
        <v>28345</v>
      </c>
      <c r="G65" s="36">
        <f t="shared" si="3"/>
        <v>0</v>
      </c>
      <c r="H65" s="37">
        <f t="shared" si="5"/>
        <v>3986646.1082447935</v>
      </c>
      <c r="I65" s="33">
        <f t="shared" si="6"/>
        <v>1773160</v>
      </c>
    </row>
    <row r="66" spans="2:9" ht="15.75" customHeight="1" x14ac:dyDescent="0.3">
      <c r="B66" s="38">
        <v>56</v>
      </c>
      <c r="C66" s="39">
        <f t="shared" si="0"/>
        <v>48032</v>
      </c>
      <c r="D66" s="40">
        <f t="shared" si="1"/>
        <v>43391.161668276698</v>
      </c>
      <c r="E66" s="41">
        <f t="shared" si="2"/>
        <v>15152.161668276698</v>
      </c>
      <c r="F66" s="42">
        <f t="shared" si="4"/>
        <v>28239</v>
      </c>
      <c r="G66" s="43">
        <f t="shared" si="3"/>
        <v>0</v>
      </c>
      <c r="H66" s="44">
        <f t="shared" si="5"/>
        <v>3971493.9465765166</v>
      </c>
      <c r="I66" s="40">
        <f t="shared" si="6"/>
        <v>1801399</v>
      </c>
    </row>
    <row r="67" spans="2:9" ht="15.75" customHeight="1" x14ac:dyDescent="0.3">
      <c r="B67" s="31">
        <v>57</v>
      </c>
      <c r="C67" s="32">
        <f t="shared" si="0"/>
        <v>48063</v>
      </c>
      <c r="D67" s="33">
        <f t="shared" si="1"/>
        <v>43391.161668276698</v>
      </c>
      <c r="E67" s="34">
        <f t="shared" si="2"/>
        <v>15260.161668276698</v>
      </c>
      <c r="F67" s="35">
        <f t="shared" si="4"/>
        <v>28131</v>
      </c>
      <c r="G67" s="36">
        <f t="shared" si="3"/>
        <v>0</v>
      </c>
      <c r="H67" s="37">
        <f t="shared" si="5"/>
        <v>3956233.7849082397</v>
      </c>
      <c r="I67" s="33">
        <f t="shared" si="6"/>
        <v>1829530</v>
      </c>
    </row>
    <row r="68" spans="2:9" ht="15.75" customHeight="1" x14ac:dyDescent="0.3">
      <c r="B68" s="38">
        <v>58</v>
      </c>
      <c r="C68" s="39">
        <f t="shared" si="0"/>
        <v>48094</v>
      </c>
      <c r="D68" s="40">
        <f t="shared" si="1"/>
        <v>43391.161668276698</v>
      </c>
      <c r="E68" s="41">
        <f t="shared" si="2"/>
        <v>15368.161668276698</v>
      </c>
      <c r="F68" s="42">
        <f t="shared" si="4"/>
        <v>28023</v>
      </c>
      <c r="G68" s="43">
        <f t="shared" si="3"/>
        <v>0</v>
      </c>
      <c r="H68" s="44">
        <f t="shared" si="5"/>
        <v>3940865.6232399628</v>
      </c>
      <c r="I68" s="40">
        <f t="shared" si="6"/>
        <v>1857553</v>
      </c>
    </row>
    <row r="69" spans="2:9" ht="15.75" customHeight="1" x14ac:dyDescent="0.3">
      <c r="B69" s="31">
        <v>59</v>
      </c>
      <c r="C69" s="32">
        <f t="shared" si="0"/>
        <v>48124</v>
      </c>
      <c r="D69" s="33">
        <f t="shared" si="1"/>
        <v>43391.161668276698</v>
      </c>
      <c r="E69" s="34">
        <f t="shared" si="2"/>
        <v>15477.161668276698</v>
      </c>
      <c r="F69" s="35">
        <f t="shared" si="4"/>
        <v>27914</v>
      </c>
      <c r="G69" s="36">
        <f t="shared" si="3"/>
        <v>0</v>
      </c>
      <c r="H69" s="37">
        <f t="shared" si="5"/>
        <v>3925388.461571686</v>
      </c>
      <c r="I69" s="33">
        <f t="shared" si="6"/>
        <v>1885467</v>
      </c>
    </row>
    <row r="70" spans="2:9" ht="15.75" customHeight="1" x14ac:dyDescent="0.3">
      <c r="B70" s="38">
        <v>60</v>
      </c>
      <c r="C70" s="39">
        <f t="shared" si="0"/>
        <v>48155</v>
      </c>
      <c r="D70" s="40">
        <f t="shared" si="1"/>
        <v>43391.161668276698</v>
      </c>
      <c r="E70" s="41">
        <f t="shared" si="2"/>
        <v>15586.161668276698</v>
      </c>
      <c r="F70" s="42">
        <f t="shared" si="4"/>
        <v>27805</v>
      </c>
      <c r="G70" s="43">
        <f t="shared" si="3"/>
        <v>100000</v>
      </c>
      <c r="H70" s="44">
        <f t="shared" si="5"/>
        <v>3809802.2999034091</v>
      </c>
      <c r="I70" s="40">
        <f t="shared" si="6"/>
        <v>1913272</v>
      </c>
    </row>
    <row r="71" spans="2:9" ht="15.75" customHeight="1" x14ac:dyDescent="0.3">
      <c r="B71" s="31">
        <v>61</v>
      </c>
      <c r="C71" s="32">
        <f t="shared" si="0"/>
        <v>48185</v>
      </c>
      <c r="D71" s="33">
        <f t="shared" si="1"/>
        <v>43391.161668276698</v>
      </c>
      <c r="E71" s="34">
        <f t="shared" si="2"/>
        <v>16405.161668276698</v>
      </c>
      <c r="F71" s="35">
        <f t="shared" si="4"/>
        <v>26986</v>
      </c>
      <c r="G71" s="36">
        <f t="shared" si="3"/>
        <v>0</v>
      </c>
      <c r="H71" s="37">
        <f t="shared" si="5"/>
        <v>3793397.1382351322</v>
      </c>
      <c r="I71" s="33">
        <f t="shared" si="6"/>
        <v>1940258</v>
      </c>
    </row>
    <row r="72" spans="2:9" ht="15.75" customHeight="1" x14ac:dyDescent="0.3">
      <c r="B72" s="38">
        <v>62</v>
      </c>
      <c r="C72" s="39">
        <f t="shared" si="0"/>
        <v>48216</v>
      </c>
      <c r="D72" s="40">
        <f t="shared" si="1"/>
        <v>43391.161668276698</v>
      </c>
      <c r="E72" s="41">
        <f t="shared" si="2"/>
        <v>16521.161668276698</v>
      </c>
      <c r="F72" s="42">
        <f t="shared" si="4"/>
        <v>26870</v>
      </c>
      <c r="G72" s="43">
        <f t="shared" si="3"/>
        <v>0</v>
      </c>
      <c r="H72" s="44">
        <f t="shared" si="5"/>
        <v>3776875.9765668553</v>
      </c>
      <c r="I72" s="40">
        <f t="shared" si="6"/>
        <v>1967128</v>
      </c>
    </row>
    <row r="73" spans="2:9" ht="15.75" customHeight="1" x14ac:dyDescent="0.3">
      <c r="B73" s="31">
        <v>63</v>
      </c>
      <c r="C73" s="32">
        <f t="shared" si="0"/>
        <v>48247</v>
      </c>
      <c r="D73" s="33">
        <f t="shared" si="1"/>
        <v>43391.161668276698</v>
      </c>
      <c r="E73" s="34">
        <f t="shared" si="2"/>
        <v>16638.161668276698</v>
      </c>
      <c r="F73" s="35">
        <f t="shared" si="4"/>
        <v>26753</v>
      </c>
      <c r="G73" s="36">
        <f t="shared" si="3"/>
        <v>0</v>
      </c>
      <c r="H73" s="37">
        <f t="shared" si="5"/>
        <v>3760237.8148985785</v>
      </c>
      <c r="I73" s="33">
        <f t="shared" si="6"/>
        <v>1993881</v>
      </c>
    </row>
    <row r="74" spans="2:9" ht="15.75" customHeight="1" x14ac:dyDescent="0.3">
      <c r="B74" s="38">
        <v>64</v>
      </c>
      <c r="C74" s="39">
        <f t="shared" si="0"/>
        <v>48276</v>
      </c>
      <c r="D74" s="40">
        <f t="shared" si="1"/>
        <v>43391.161668276698</v>
      </c>
      <c r="E74" s="41">
        <f t="shared" si="2"/>
        <v>16756.161668276698</v>
      </c>
      <c r="F74" s="42">
        <f t="shared" si="4"/>
        <v>26635</v>
      </c>
      <c r="G74" s="43">
        <f t="shared" si="3"/>
        <v>0</v>
      </c>
      <c r="H74" s="44">
        <f t="shared" si="5"/>
        <v>3743481.6532303016</v>
      </c>
      <c r="I74" s="40">
        <f t="shared" si="6"/>
        <v>2020516</v>
      </c>
    </row>
    <row r="75" spans="2:9" ht="15.75" customHeight="1" x14ac:dyDescent="0.3">
      <c r="B75" s="31">
        <v>65</v>
      </c>
      <c r="C75" s="32">
        <f t="shared" ref="C75:C138" si="7">IFERROR(EDATE($C$7,B75),"")</f>
        <v>48307</v>
      </c>
      <c r="D75" s="33">
        <f t="shared" ref="D75:D138" si="8">IFERROR(IF(H74&gt;0,$F$6,0),0)</f>
        <v>43391.161668276698</v>
      </c>
      <c r="E75" s="34">
        <f t="shared" ref="E75:E138" si="9">IFERROR(D75-F75,0)</f>
        <v>16875.161668276698</v>
      </c>
      <c r="F75" s="35">
        <f t="shared" si="4"/>
        <v>26516</v>
      </c>
      <c r="G75" s="36">
        <f t="shared" ref="G75:G138" si="10">IFERROR(IF(H74&lt;=0,0,IF($C$8="Monthly",$F$7,IF(AND($C$8="Yearly",MOD(B75,12)=0),$F$7,IF(AND($C$8="One-time",B75=1),$F$7,0)))),0)</f>
        <v>0</v>
      </c>
      <c r="H75" s="37">
        <f t="shared" si="5"/>
        <v>3726606.4915620247</v>
      </c>
      <c r="I75" s="33">
        <f t="shared" si="6"/>
        <v>2047032</v>
      </c>
    </row>
    <row r="76" spans="2:9" ht="15.75" customHeight="1" x14ac:dyDescent="0.3">
      <c r="B76" s="38">
        <v>66</v>
      </c>
      <c r="C76" s="39">
        <f t="shared" si="7"/>
        <v>48337</v>
      </c>
      <c r="D76" s="40">
        <f t="shared" si="8"/>
        <v>43391.161668276698</v>
      </c>
      <c r="E76" s="41">
        <f t="shared" si="9"/>
        <v>16994.161668276698</v>
      </c>
      <c r="F76" s="42">
        <f t="shared" ref="F76:F139" si="11">IFERROR(IF(H75&gt;0,ROUND(H75*$F$5/12,0),0),0)</f>
        <v>26397</v>
      </c>
      <c r="G76" s="43">
        <f t="shared" si="10"/>
        <v>0</v>
      </c>
      <c r="H76" s="44">
        <f t="shared" ref="H76:H139" si="12">IFERROR(MAX(H75-E76-G76,0),0)</f>
        <v>3709612.3298937478</v>
      </c>
      <c r="I76" s="40">
        <f t="shared" ref="I76:I139" si="13">I75+F76</f>
        <v>2073429</v>
      </c>
    </row>
    <row r="77" spans="2:9" ht="15.75" customHeight="1" x14ac:dyDescent="0.3">
      <c r="B77" s="31">
        <v>67</v>
      </c>
      <c r="C77" s="32">
        <f t="shared" si="7"/>
        <v>48368</v>
      </c>
      <c r="D77" s="33">
        <f t="shared" si="8"/>
        <v>43391.161668276698</v>
      </c>
      <c r="E77" s="34">
        <f t="shared" si="9"/>
        <v>17115.161668276698</v>
      </c>
      <c r="F77" s="35">
        <f t="shared" si="11"/>
        <v>26276</v>
      </c>
      <c r="G77" s="36">
        <f t="shared" si="10"/>
        <v>0</v>
      </c>
      <c r="H77" s="37">
        <f t="shared" si="12"/>
        <v>3692497.1682254709</v>
      </c>
      <c r="I77" s="33">
        <f t="shared" si="13"/>
        <v>2099705</v>
      </c>
    </row>
    <row r="78" spans="2:9" ht="15.75" customHeight="1" x14ac:dyDescent="0.3">
      <c r="B78" s="38">
        <v>68</v>
      </c>
      <c r="C78" s="39">
        <f t="shared" si="7"/>
        <v>48398</v>
      </c>
      <c r="D78" s="40">
        <f t="shared" si="8"/>
        <v>43391.161668276698</v>
      </c>
      <c r="E78" s="41">
        <f t="shared" si="9"/>
        <v>17236.161668276698</v>
      </c>
      <c r="F78" s="42">
        <f t="shared" si="11"/>
        <v>26155</v>
      </c>
      <c r="G78" s="43">
        <f t="shared" si="10"/>
        <v>0</v>
      </c>
      <c r="H78" s="44">
        <f t="shared" si="12"/>
        <v>3675261.0065571941</v>
      </c>
      <c r="I78" s="40">
        <f t="shared" si="13"/>
        <v>2125860</v>
      </c>
    </row>
    <row r="79" spans="2:9" ht="15.75" customHeight="1" x14ac:dyDescent="0.3">
      <c r="B79" s="31">
        <v>69</v>
      </c>
      <c r="C79" s="32">
        <f t="shared" si="7"/>
        <v>48429</v>
      </c>
      <c r="D79" s="33">
        <f t="shared" si="8"/>
        <v>43391.161668276698</v>
      </c>
      <c r="E79" s="34">
        <f t="shared" si="9"/>
        <v>17358.161668276698</v>
      </c>
      <c r="F79" s="35">
        <f t="shared" si="11"/>
        <v>26033</v>
      </c>
      <c r="G79" s="36">
        <f t="shared" si="10"/>
        <v>0</v>
      </c>
      <c r="H79" s="37">
        <f t="shared" si="12"/>
        <v>3657902.8448889172</v>
      </c>
      <c r="I79" s="33">
        <f t="shared" si="13"/>
        <v>2151893</v>
      </c>
    </row>
    <row r="80" spans="2:9" ht="15.75" customHeight="1" x14ac:dyDescent="0.3">
      <c r="B80" s="38">
        <v>70</v>
      </c>
      <c r="C80" s="39">
        <f t="shared" si="7"/>
        <v>48460</v>
      </c>
      <c r="D80" s="40">
        <f t="shared" si="8"/>
        <v>43391.161668276698</v>
      </c>
      <c r="E80" s="41">
        <f t="shared" si="9"/>
        <v>17481.161668276698</v>
      </c>
      <c r="F80" s="42">
        <f t="shared" si="11"/>
        <v>25910</v>
      </c>
      <c r="G80" s="43">
        <f t="shared" si="10"/>
        <v>0</v>
      </c>
      <c r="H80" s="44">
        <f t="shared" si="12"/>
        <v>3640421.6832206403</v>
      </c>
      <c r="I80" s="40">
        <f t="shared" si="13"/>
        <v>2177803</v>
      </c>
    </row>
    <row r="81" spans="2:9" ht="15.75" customHeight="1" x14ac:dyDescent="0.3">
      <c r="B81" s="31">
        <v>71</v>
      </c>
      <c r="C81" s="32">
        <f t="shared" si="7"/>
        <v>48490</v>
      </c>
      <c r="D81" s="33">
        <f t="shared" si="8"/>
        <v>43391.161668276698</v>
      </c>
      <c r="E81" s="34">
        <f t="shared" si="9"/>
        <v>17605.161668276698</v>
      </c>
      <c r="F81" s="35">
        <f t="shared" si="11"/>
        <v>25786</v>
      </c>
      <c r="G81" s="36">
        <f t="shared" si="10"/>
        <v>0</v>
      </c>
      <c r="H81" s="37">
        <f t="shared" si="12"/>
        <v>3622816.5215523634</v>
      </c>
      <c r="I81" s="33">
        <f t="shared" si="13"/>
        <v>2203589</v>
      </c>
    </row>
    <row r="82" spans="2:9" ht="15.75" customHeight="1" x14ac:dyDescent="0.3">
      <c r="B82" s="38">
        <v>72</v>
      </c>
      <c r="C82" s="39">
        <f t="shared" si="7"/>
        <v>48521</v>
      </c>
      <c r="D82" s="40">
        <f t="shared" si="8"/>
        <v>43391.161668276698</v>
      </c>
      <c r="E82" s="41">
        <f t="shared" si="9"/>
        <v>17729.161668276698</v>
      </c>
      <c r="F82" s="42">
        <f t="shared" si="11"/>
        <v>25662</v>
      </c>
      <c r="G82" s="43">
        <f t="shared" si="10"/>
        <v>100000</v>
      </c>
      <c r="H82" s="44">
        <f t="shared" si="12"/>
        <v>3505087.3598840865</v>
      </c>
      <c r="I82" s="40">
        <f t="shared" si="13"/>
        <v>2229251</v>
      </c>
    </row>
    <row r="83" spans="2:9" ht="15.75" customHeight="1" x14ac:dyDescent="0.3">
      <c r="B83" s="31">
        <v>73</v>
      </c>
      <c r="C83" s="32">
        <f t="shared" si="7"/>
        <v>48551</v>
      </c>
      <c r="D83" s="33">
        <f t="shared" si="8"/>
        <v>43391.161668276698</v>
      </c>
      <c r="E83" s="34">
        <f t="shared" si="9"/>
        <v>18563.161668276698</v>
      </c>
      <c r="F83" s="35">
        <f t="shared" si="11"/>
        <v>24828</v>
      </c>
      <c r="G83" s="36">
        <f t="shared" si="10"/>
        <v>0</v>
      </c>
      <c r="H83" s="37">
        <f t="shared" si="12"/>
        <v>3486524.1982158097</v>
      </c>
      <c r="I83" s="33">
        <f t="shared" si="13"/>
        <v>2254079</v>
      </c>
    </row>
    <row r="84" spans="2:9" ht="15.75" customHeight="1" x14ac:dyDescent="0.3">
      <c r="B84" s="38">
        <v>74</v>
      </c>
      <c r="C84" s="39">
        <f t="shared" si="7"/>
        <v>48582</v>
      </c>
      <c r="D84" s="40">
        <f t="shared" si="8"/>
        <v>43391.161668276698</v>
      </c>
      <c r="E84" s="41">
        <f t="shared" si="9"/>
        <v>18695.161668276698</v>
      </c>
      <c r="F84" s="42">
        <f t="shared" si="11"/>
        <v>24696</v>
      </c>
      <c r="G84" s="43">
        <f t="shared" si="10"/>
        <v>0</v>
      </c>
      <c r="H84" s="44">
        <f t="shared" si="12"/>
        <v>3467829.0365475328</v>
      </c>
      <c r="I84" s="40">
        <f t="shared" si="13"/>
        <v>2278775</v>
      </c>
    </row>
    <row r="85" spans="2:9" ht="15.75" customHeight="1" x14ac:dyDescent="0.3">
      <c r="B85" s="31">
        <v>75</v>
      </c>
      <c r="C85" s="32">
        <f t="shared" si="7"/>
        <v>48613</v>
      </c>
      <c r="D85" s="33">
        <f t="shared" si="8"/>
        <v>43391.161668276698</v>
      </c>
      <c r="E85" s="34">
        <f t="shared" si="9"/>
        <v>18827.161668276698</v>
      </c>
      <c r="F85" s="35">
        <f t="shared" si="11"/>
        <v>24564</v>
      </c>
      <c r="G85" s="36">
        <f t="shared" si="10"/>
        <v>0</v>
      </c>
      <c r="H85" s="37">
        <f t="shared" si="12"/>
        <v>3449001.8748792559</v>
      </c>
      <c r="I85" s="33">
        <f t="shared" si="13"/>
        <v>2303339</v>
      </c>
    </row>
    <row r="86" spans="2:9" ht="15.75" customHeight="1" x14ac:dyDescent="0.3">
      <c r="B86" s="38">
        <v>76</v>
      </c>
      <c r="C86" s="39">
        <f t="shared" si="7"/>
        <v>48641</v>
      </c>
      <c r="D86" s="40">
        <f t="shared" si="8"/>
        <v>43391.161668276698</v>
      </c>
      <c r="E86" s="41">
        <f t="shared" si="9"/>
        <v>18961.161668276698</v>
      </c>
      <c r="F86" s="42">
        <f t="shared" si="11"/>
        <v>24430</v>
      </c>
      <c r="G86" s="43">
        <f t="shared" si="10"/>
        <v>0</v>
      </c>
      <c r="H86" s="44">
        <f t="shared" si="12"/>
        <v>3430040.713210979</v>
      </c>
      <c r="I86" s="40">
        <f t="shared" si="13"/>
        <v>2327769</v>
      </c>
    </row>
    <row r="87" spans="2:9" ht="15.75" customHeight="1" x14ac:dyDescent="0.3">
      <c r="B87" s="31">
        <v>77</v>
      </c>
      <c r="C87" s="32">
        <f t="shared" si="7"/>
        <v>48672</v>
      </c>
      <c r="D87" s="33">
        <f t="shared" si="8"/>
        <v>43391.161668276698</v>
      </c>
      <c r="E87" s="34">
        <f t="shared" si="9"/>
        <v>19095.161668276698</v>
      </c>
      <c r="F87" s="35">
        <f t="shared" si="11"/>
        <v>24296</v>
      </c>
      <c r="G87" s="36">
        <f t="shared" si="10"/>
        <v>0</v>
      </c>
      <c r="H87" s="37">
        <f t="shared" si="12"/>
        <v>3410945.5515427021</v>
      </c>
      <c r="I87" s="33">
        <f t="shared" si="13"/>
        <v>2352065</v>
      </c>
    </row>
    <row r="88" spans="2:9" ht="15.75" customHeight="1" x14ac:dyDescent="0.3">
      <c r="B88" s="38">
        <v>78</v>
      </c>
      <c r="C88" s="39">
        <f t="shared" si="7"/>
        <v>48702</v>
      </c>
      <c r="D88" s="40">
        <f t="shared" si="8"/>
        <v>43391.161668276698</v>
      </c>
      <c r="E88" s="41">
        <f t="shared" si="9"/>
        <v>19230.161668276698</v>
      </c>
      <c r="F88" s="42">
        <f t="shared" si="11"/>
        <v>24161</v>
      </c>
      <c r="G88" s="43">
        <f t="shared" si="10"/>
        <v>0</v>
      </c>
      <c r="H88" s="44">
        <f t="shared" si="12"/>
        <v>3391715.3898744253</v>
      </c>
      <c r="I88" s="40">
        <f t="shared" si="13"/>
        <v>2376226</v>
      </c>
    </row>
    <row r="89" spans="2:9" ht="15.75" customHeight="1" x14ac:dyDescent="0.3">
      <c r="B89" s="31">
        <v>79</v>
      </c>
      <c r="C89" s="32">
        <f t="shared" si="7"/>
        <v>48733</v>
      </c>
      <c r="D89" s="33">
        <f t="shared" si="8"/>
        <v>43391.161668276698</v>
      </c>
      <c r="E89" s="34">
        <f t="shared" si="9"/>
        <v>19366.161668276698</v>
      </c>
      <c r="F89" s="35">
        <f t="shared" si="11"/>
        <v>24025</v>
      </c>
      <c r="G89" s="36">
        <f t="shared" si="10"/>
        <v>0</v>
      </c>
      <c r="H89" s="37">
        <f t="shared" si="12"/>
        <v>3372349.2282061484</v>
      </c>
      <c r="I89" s="33">
        <f t="shared" si="13"/>
        <v>2400251</v>
      </c>
    </row>
    <row r="90" spans="2:9" ht="15.75" customHeight="1" x14ac:dyDescent="0.3">
      <c r="B90" s="38">
        <v>80</v>
      </c>
      <c r="C90" s="39">
        <f t="shared" si="7"/>
        <v>48763</v>
      </c>
      <c r="D90" s="40">
        <f t="shared" si="8"/>
        <v>43391.161668276698</v>
      </c>
      <c r="E90" s="41">
        <f t="shared" si="9"/>
        <v>19504.161668276698</v>
      </c>
      <c r="F90" s="42">
        <f t="shared" si="11"/>
        <v>23887</v>
      </c>
      <c r="G90" s="43">
        <f t="shared" si="10"/>
        <v>0</v>
      </c>
      <c r="H90" s="44">
        <f t="shared" si="12"/>
        <v>3352845.0665378715</v>
      </c>
      <c r="I90" s="40">
        <f t="shared" si="13"/>
        <v>2424138</v>
      </c>
    </row>
    <row r="91" spans="2:9" ht="15.75" customHeight="1" x14ac:dyDescent="0.3">
      <c r="B91" s="31">
        <v>81</v>
      </c>
      <c r="C91" s="32">
        <f t="shared" si="7"/>
        <v>48794</v>
      </c>
      <c r="D91" s="33">
        <f t="shared" si="8"/>
        <v>43391.161668276698</v>
      </c>
      <c r="E91" s="34">
        <f t="shared" si="9"/>
        <v>19642.161668276698</v>
      </c>
      <c r="F91" s="35">
        <f t="shared" si="11"/>
        <v>23749</v>
      </c>
      <c r="G91" s="36">
        <f t="shared" si="10"/>
        <v>0</v>
      </c>
      <c r="H91" s="37">
        <f t="shared" si="12"/>
        <v>3333202.9048695946</v>
      </c>
      <c r="I91" s="33">
        <f t="shared" si="13"/>
        <v>2447887</v>
      </c>
    </row>
    <row r="92" spans="2:9" ht="15.75" customHeight="1" x14ac:dyDescent="0.3">
      <c r="B92" s="38">
        <v>82</v>
      </c>
      <c r="C92" s="39">
        <f t="shared" si="7"/>
        <v>48825</v>
      </c>
      <c r="D92" s="40">
        <f t="shared" si="8"/>
        <v>43391.161668276698</v>
      </c>
      <c r="E92" s="41">
        <f t="shared" si="9"/>
        <v>19781.161668276698</v>
      </c>
      <c r="F92" s="42">
        <f t="shared" si="11"/>
        <v>23610</v>
      </c>
      <c r="G92" s="43">
        <f t="shared" si="10"/>
        <v>0</v>
      </c>
      <c r="H92" s="44">
        <f t="shared" si="12"/>
        <v>3313421.7432013177</v>
      </c>
      <c r="I92" s="40">
        <f t="shared" si="13"/>
        <v>2471497</v>
      </c>
    </row>
    <row r="93" spans="2:9" ht="15.75" customHeight="1" x14ac:dyDescent="0.3">
      <c r="B93" s="31">
        <v>83</v>
      </c>
      <c r="C93" s="32">
        <f t="shared" si="7"/>
        <v>48855</v>
      </c>
      <c r="D93" s="33">
        <f t="shared" si="8"/>
        <v>43391.161668276698</v>
      </c>
      <c r="E93" s="34">
        <f t="shared" si="9"/>
        <v>19921.161668276698</v>
      </c>
      <c r="F93" s="35">
        <f t="shared" si="11"/>
        <v>23470</v>
      </c>
      <c r="G93" s="36">
        <f t="shared" si="10"/>
        <v>0</v>
      </c>
      <c r="H93" s="37">
        <f t="shared" si="12"/>
        <v>3293500.5815330409</v>
      </c>
      <c r="I93" s="33">
        <f t="shared" si="13"/>
        <v>2494967</v>
      </c>
    </row>
    <row r="94" spans="2:9" ht="15.75" customHeight="1" x14ac:dyDescent="0.3">
      <c r="B94" s="38">
        <v>84</v>
      </c>
      <c r="C94" s="39">
        <f t="shared" si="7"/>
        <v>48886</v>
      </c>
      <c r="D94" s="40">
        <f t="shared" si="8"/>
        <v>43391.161668276698</v>
      </c>
      <c r="E94" s="41">
        <f t="shared" si="9"/>
        <v>20062.161668276698</v>
      </c>
      <c r="F94" s="42">
        <f t="shared" si="11"/>
        <v>23329</v>
      </c>
      <c r="G94" s="43">
        <f t="shared" si="10"/>
        <v>100000</v>
      </c>
      <c r="H94" s="44">
        <f t="shared" si="12"/>
        <v>3173438.419864764</v>
      </c>
      <c r="I94" s="40">
        <f t="shared" si="13"/>
        <v>2518296</v>
      </c>
    </row>
    <row r="95" spans="2:9" ht="15.75" customHeight="1" x14ac:dyDescent="0.3">
      <c r="B95" s="31">
        <v>85</v>
      </c>
      <c r="C95" s="32">
        <f t="shared" si="7"/>
        <v>48916</v>
      </c>
      <c r="D95" s="33">
        <f t="shared" si="8"/>
        <v>43391.161668276698</v>
      </c>
      <c r="E95" s="34">
        <f t="shared" si="9"/>
        <v>20912.161668276698</v>
      </c>
      <c r="F95" s="35">
        <f t="shared" si="11"/>
        <v>22479</v>
      </c>
      <c r="G95" s="36">
        <f t="shared" si="10"/>
        <v>0</v>
      </c>
      <c r="H95" s="37">
        <f t="shared" si="12"/>
        <v>3152526.2581964871</v>
      </c>
      <c r="I95" s="33">
        <f t="shared" si="13"/>
        <v>2540775</v>
      </c>
    </row>
    <row r="96" spans="2:9" ht="15.75" customHeight="1" x14ac:dyDescent="0.3">
      <c r="B96" s="38">
        <v>86</v>
      </c>
      <c r="C96" s="39">
        <f t="shared" si="7"/>
        <v>48947</v>
      </c>
      <c r="D96" s="40">
        <f t="shared" si="8"/>
        <v>43391.161668276698</v>
      </c>
      <c r="E96" s="41">
        <f t="shared" si="9"/>
        <v>21061.161668276698</v>
      </c>
      <c r="F96" s="42">
        <f t="shared" si="11"/>
        <v>22330</v>
      </c>
      <c r="G96" s="43">
        <f t="shared" si="10"/>
        <v>0</v>
      </c>
      <c r="H96" s="44">
        <f t="shared" si="12"/>
        <v>3131465.0965282102</v>
      </c>
      <c r="I96" s="40">
        <f t="shared" si="13"/>
        <v>2563105</v>
      </c>
    </row>
    <row r="97" spans="2:9" ht="15.75" customHeight="1" x14ac:dyDescent="0.3">
      <c r="B97" s="31">
        <v>87</v>
      </c>
      <c r="C97" s="32">
        <f t="shared" si="7"/>
        <v>48978</v>
      </c>
      <c r="D97" s="33">
        <f t="shared" si="8"/>
        <v>43391.161668276698</v>
      </c>
      <c r="E97" s="34">
        <f t="shared" si="9"/>
        <v>21210.161668276698</v>
      </c>
      <c r="F97" s="35">
        <f t="shared" si="11"/>
        <v>22181</v>
      </c>
      <c r="G97" s="36">
        <f t="shared" si="10"/>
        <v>0</v>
      </c>
      <c r="H97" s="37">
        <f t="shared" si="12"/>
        <v>3110254.9348599333</v>
      </c>
      <c r="I97" s="33">
        <f t="shared" si="13"/>
        <v>2585286</v>
      </c>
    </row>
    <row r="98" spans="2:9" ht="15.75" customHeight="1" x14ac:dyDescent="0.3">
      <c r="B98" s="38">
        <v>88</v>
      </c>
      <c r="C98" s="39">
        <f t="shared" si="7"/>
        <v>49006</v>
      </c>
      <c r="D98" s="40">
        <f t="shared" si="8"/>
        <v>43391.161668276698</v>
      </c>
      <c r="E98" s="41">
        <f t="shared" si="9"/>
        <v>21360.161668276698</v>
      </c>
      <c r="F98" s="42">
        <f t="shared" si="11"/>
        <v>22031</v>
      </c>
      <c r="G98" s="43">
        <f t="shared" si="10"/>
        <v>0</v>
      </c>
      <c r="H98" s="44">
        <f t="shared" si="12"/>
        <v>3088894.7731916565</v>
      </c>
      <c r="I98" s="40">
        <f t="shared" si="13"/>
        <v>2607317</v>
      </c>
    </row>
    <row r="99" spans="2:9" ht="15.75" customHeight="1" x14ac:dyDescent="0.3">
      <c r="B99" s="31">
        <v>89</v>
      </c>
      <c r="C99" s="32">
        <f t="shared" si="7"/>
        <v>49037</v>
      </c>
      <c r="D99" s="33">
        <f t="shared" si="8"/>
        <v>43391.161668276698</v>
      </c>
      <c r="E99" s="34">
        <f t="shared" si="9"/>
        <v>21511.161668276698</v>
      </c>
      <c r="F99" s="35">
        <f t="shared" si="11"/>
        <v>21880</v>
      </c>
      <c r="G99" s="36">
        <f t="shared" si="10"/>
        <v>0</v>
      </c>
      <c r="H99" s="37">
        <f t="shared" si="12"/>
        <v>3067383.6115233796</v>
      </c>
      <c r="I99" s="33">
        <f t="shared" si="13"/>
        <v>2629197</v>
      </c>
    </row>
    <row r="100" spans="2:9" ht="15.75" customHeight="1" x14ac:dyDescent="0.3">
      <c r="B100" s="38">
        <v>90</v>
      </c>
      <c r="C100" s="39">
        <f t="shared" si="7"/>
        <v>49067</v>
      </c>
      <c r="D100" s="40">
        <f t="shared" si="8"/>
        <v>43391.161668276698</v>
      </c>
      <c r="E100" s="41">
        <f t="shared" si="9"/>
        <v>21664.161668276698</v>
      </c>
      <c r="F100" s="42">
        <f t="shared" si="11"/>
        <v>21727</v>
      </c>
      <c r="G100" s="43">
        <f t="shared" si="10"/>
        <v>0</v>
      </c>
      <c r="H100" s="44">
        <f t="shared" si="12"/>
        <v>3045719.4498551027</v>
      </c>
      <c r="I100" s="40">
        <f t="shared" si="13"/>
        <v>2650924</v>
      </c>
    </row>
    <row r="101" spans="2:9" ht="15.75" customHeight="1" x14ac:dyDescent="0.3">
      <c r="B101" s="31">
        <v>91</v>
      </c>
      <c r="C101" s="32">
        <f t="shared" si="7"/>
        <v>49098</v>
      </c>
      <c r="D101" s="33">
        <f t="shared" si="8"/>
        <v>43391.161668276698</v>
      </c>
      <c r="E101" s="34">
        <f t="shared" si="9"/>
        <v>21817.161668276698</v>
      </c>
      <c r="F101" s="35">
        <f t="shared" si="11"/>
        <v>21574</v>
      </c>
      <c r="G101" s="36">
        <f t="shared" si="10"/>
        <v>0</v>
      </c>
      <c r="H101" s="37">
        <f t="shared" si="12"/>
        <v>3023902.2881868258</v>
      </c>
      <c r="I101" s="33">
        <f t="shared" si="13"/>
        <v>2672498</v>
      </c>
    </row>
    <row r="102" spans="2:9" ht="15.75" customHeight="1" x14ac:dyDescent="0.3">
      <c r="B102" s="38">
        <v>92</v>
      </c>
      <c r="C102" s="39">
        <f t="shared" si="7"/>
        <v>49128</v>
      </c>
      <c r="D102" s="40">
        <f t="shared" si="8"/>
        <v>43391.161668276698</v>
      </c>
      <c r="E102" s="41">
        <f t="shared" si="9"/>
        <v>21972.161668276698</v>
      </c>
      <c r="F102" s="42">
        <f t="shared" si="11"/>
        <v>21419</v>
      </c>
      <c r="G102" s="43">
        <f t="shared" si="10"/>
        <v>0</v>
      </c>
      <c r="H102" s="44">
        <f t="shared" si="12"/>
        <v>3001930.1265185489</v>
      </c>
      <c r="I102" s="40">
        <f t="shared" si="13"/>
        <v>2693917</v>
      </c>
    </row>
    <row r="103" spans="2:9" ht="15.75" customHeight="1" x14ac:dyDescent="0.3">
      <c r="B103" s="31">
        <v>93</v>
      </c>
      <c r="C103" s="32">
        <f t="shared" si="7"/>
        <v>49159</v>
      </c>
      <c r="D103" s="33">
        <f t="shared" si="8"/>
        <v>43391.161668276698</v>
      </c>
      <c r="E103" s="34">
        <f t="shared" si="9"/>
        <v>22127.161668276698</v>
      </c>
      <c r="F103" s="35">
        <f t="shared" si="11"/>
        <v>21264</v>
      </c>
      <c r="G103" s="36">
        <f t="shared" si="10"/>
        <v>0</v>
      </c>
      <c r="H103" s="37">
        <f t="shared" si="12"/>
        <v>2979802.9648502721</v>
      </c>
      <c r="I103" s="33">
        <f t="shared" si="13"/>
        <v>2715181</v>
      </c>
    </row>
    <row r="104" spans="2:9" ht="15.75" customHeight="1" x14ac:dyDescent="0.3">
      <c r="B104" s="38">
        <v>94</v>
      </c>
      <c r="C104" s="39">
        <f t="shared" si="7"/>
        <v>49190</v>
      </c>
      <c r="D104" s="40">
        <f t="shared" si="8"/>
        <v>43391.161668276698</v>
      </c>
      <c r="E104" s="41">
        <f t="shared" si="9"/>
        <v>22284.161668276698</v>
      </c>
      <c r="F104" s="42">
        <f t="shared" si="11"/>
        <v>21107</v>
      </c>
      <c r="G104" s="43">
        <f t="shared" si="10"/>
        <v>0</v>
      </c>
      <c r="H104" s="44">
        <f t="shared" si="12"/>
        <v>2957518.8031819952</v>
      </c>
      <c r="I104" s="40">
        <f t="shared" si="13"/>
        <v>2736288</v>
      </c>
    </row>
    <row r="105" spans="2:9" ht="15.75" customHeight="1" x14ac:dyDescent="0.3">
      <c r="B105" s="31">
        <v>95</v>
      </c>
      <c r="C105" s="32">
        <f t="shared" si="7"/>
        <v>49220</v>
      </c>
      <c r="D105" s="33">
        <f t="shared" si="8"/>
        <v>43391.161668276698</v>
      </c>
      <c r="E105" s="34">
        <f t="shared" si="9"/>
        <v>22442.161668276698</v>
      </c>
      <c r="F105" s="35">
        <f t="shared" si="11"/>
        <v>20949</v>
      </c>
      <c r="G105" s="36">
        <f t="shared" si="10"/>
        <v>0</v>
      </c>
      <c r="H105" s="37">
        <f t="shared" si="12"/>
        <v>2935076.6415137183</v>
      </c>
      <c r="I105" s="33">
        <f t="shared" si="13"/>
        <v>2757237</v>
      </c>
    </row>
    <row r="106" spans="2:9" ht="15.75" customHeight="1" x14ac:dyDescent="0.3">
      <c r="B106" s="38">
        <v>96</v>
      </c>
      <c r="C106" s="39">
        <f t="shared" si="7"/>
        <v>49251</v>
      </c>
      <c r="D106" s="40">
        <f t="shared" si="8"/>
        <v>43391.161668276698</v>
      </c>
      <c r="E106" s="41">
        <f t="shared" si="9"/>
        <v>22601.161668276698</v>
      </c>
      <c r="F106" s="42">
        <f t="shared" si="11"/>
        <v>20790</v>
      </c>
      <c r="G106" s="43">
        <f t="shared" si="10"/>
        <v>100000</v>
      </c>
      <c r="H106" s="44">
        <f t="shared" si="12"/>
        <v>2812475.4798454414</v>
      </c>
      <c r="I106" s="40">
        <f t="shared" si="13"/>
        <v>2778027</v>
      </c>
    </row>
    <row r="107" spans="2:9" ht="15.75" customHeight="1" x14ac:dyDescent="0.3">
      <c r="B107" s="31">
        <v>97</v>
      </c>
      <c r="C107" s="32">
        <f t="shared" si="7"/>
        <v>49281</v>
      </c>
      <c r="D107" s="33">
        <f t="shared" si="8"/>
        <v>43391.161668276698</v>
      </c>
      <c r="E107" s="34">
        <f t="shared" si="9"/>
        <v>23469.161668276698</v>
      </c>
      <c r="F107" s="35">
        <f t="shared" si="11"/>
        <v>19922</v>
      </c>
      <c r="G107" s="36">
        <f t="shared" si="10"/>
        <v>0</v>
      </c>
      <c r="H107" s="37">
        <f t="shared" si="12"/>
        <v>2789006.3181771645</v>
      </c>
      <c r="I107" s="33">
        <f t="shared" si="13"/>
        <v>2797949</v>
      </c>
    </row>
    <row r="108" spans="2:9" ht="15.75" customHeight="1" x14ac:dyDescent="0.3">
      <c r="B108" s="38">
        <v>98</v>
      </c>
      <c r="C108" s="39">
        <f t="shared" si="7"/>
        <v>49312</v>
      </c>
      <c r="D108" s="40">
        <f t="shared" si="8"/>
        <v>43391.161668276698</v>
      </c>
      <c r="E108" s="41">
        <f t="shared" si="9"/>
        <v>23636.161668276698</v>
      </c>
      <c r="F108" s="42">
        <f t="shared" si="11"/>
        <v>19755</v>
      </c>
      <c r="G108" s="43">
        <f t="shared" si="10"/>
        <v>0</v>
      </c>
      <c r="H108" s="44">
        <f t="shared" si="12"/>
        <v>2765370.1565088877</v>
      </c>
      <c r="I108" s="40">
        <f t="shared" si="13"/>
        <v>2817704</v>
      </c>
    </row>
    <row r="109" spans="2:9" ht="15.75" customHeight="1" x14ac:dyDescent="0.3">
      <c r="B109" s="31">
        <v>99</v>
      </c>
      <c r="C109" s="32">
        <f t="shared" si="7"/>
        <v>49343</v>
      </c>
      <c r="D109" s="33">
        <f t="shared" si="8"/>
        <v>43391.161668276698</v>
      </c>
      <c r="E109" s="34">
        <f t="shared" si="9"/>
        <v>23803.161668276698</v>
      </c>
      <c r="F109" s="35">
        <f t="shared" si="11"/>
        <v>19588</v>
      </c>
      <c r="G109" s="36">
        <f t="shared" si="10"/>
        <v>0</v>
      </c>
      <c r="H109" s="37">
        <f t="shared" si="12"/>
        <v>2741566.9948406108</v>
      </c>
      <c r="I109" s="33">
        <f t="shared" si="13"/>
        <v>2837292</v>
      </c>
    </row>
    <row r="110" spans="2:9" ht="15.75" customHeight="1" x14ac:dyDescent="0.3">
      <c r="B110" s="38">
        <v>100</v>
      </c>
      <c r="C110" s="39">
        <f t="shared" si="7"/>
        <v>49371</v>
      </c>
      <c r="D110" s="40">
        <f t="shared" si="8"/>
        <v>43391.161668276698</v>
      </c>
      <c r="E110" s="41">
        <f t="shared" si="9"/>
        <v>23972.161668276698</v>
      </c>
      <c r="F110" s="42">
        <f t="shared" si="11"/>
        <v>19419</v>
      </c>
      <c r="G110" s="43">
        <f t="shared" si="10"/>
        <v>0</v>
      </c>
      <c r="H110" s="44">
        <f t="shared" si="12"/>
        <v>2717594.8331723339</v>
      </c>
      <c r="I110" s="40">
        <f t="shared" si="13"/>
        <v>2856711</v>
      </c>
    </row>
    <row r="111" spans="2:9" ht="15.75" customHeight="1" x14ac:dyDescent="0.3">
      <c r="B111" s="31">
        <v>101</v>
      </c>
      <c r="C111" s="32">
        <f t="shared" si="7"/>
        <v>49402</v>
      </c>
      <c r="D111" s="33">
        <f t="shared" si="8"/>
        <v>43391.161668276698</v>
      </c>
      <c r="E111" s="34">
        <f t="shared" si="9"/>
        <v>24141.161668276698</v>
      </c>
      <c r="F111" s="35">
        <f t="shared" si="11"/>
        <v>19250</v>
      </c>
      <c r="G111" s="36">
        <f t="shared" si="10"/>
        <v>0</v>
      </c>
      <c r="H111" s="37">
        <f t="shared" si="12"/>
        <v>2693453.671504057</v>
      </c>
      <c r="I111" s="33">
        <f t="shared" si="13"/>
        <v>2875961</v>
      </c>
    </row>
    <row r="112" spans="2:9" ht="15.75" customHeight="1" x14ac:dyDescent="0.3">
      <c r="B112" s="38">
        <v>102</v>
      </c>
      <c r="C112" s="39">
        <f t="shared" si="7"/>
        <v>49432</v>
      </c>
      <c r="D112" s="40">
        <f t="shared" si="8"/>
        <v>43391.161668276698</v>
      </c>
      <c r="E112" s="41">
        <f t="shared" si="9"/>
        <v>24312.161668276698</v>
      </c>
      <c r="F112" s="42">
        <f t="shared" si="11"/>
        <v>19079</v>
      </c>
      <c r="G112" s="43">
        <f t="shared" si="10"/>
        <v>0</v>
      </c>
      <c r="H112" s="44">
        <f t="shared" si="12"/>
        <v>2669141.5098357801</v>
      </c>
      <c r="I112" s="40">
        <f t="shared" si="13"/>
        <v>2895040</v>
      </c>
    </row>
    <row r="113" spans="2:9" ht="15.75" customHeight="1" x14ac:dyDescent="0.3">
      <c r="B113" s="31">
        <v>103</v>
      </c>
      <c r="C113" s="32">
        <f t="shared" si="7"/>
        <v>49463</v>
      </c>
      <c r="D113" s="33">
        <f t="shared" si="8"/>
        <v>43391.161668276698</v>
      </c>
      <c r="E113" s="34">
        <f t="shared" si="9"/>
        <v>24485.161668276698</v>
      </c>
      <c r="F113" s="35">
        <f t="shared" si="11"/>
        <v>18906</v>
      </c>
      <c r="G113" s="36">
        <f t="shared" si="10"/>
        <v>0</v>
      </c>
      <c r="H113" s="37">
        <f t="shared" si="12"/>
        <v>2644656.3481675033</v>
      </c>
      <c r="I113" s="33">
        <f t="shared" si="13"/>
        <v>2913946</v>
      </c>
    </row>
    <row r="114" spans="2:9" ht="15.75" customHeight="1" x14ac:dyDescent="0.3">
      <c r="B114" s="38">
        <v>104</v>
      </c>
      <c r="C114" s="39">
        <f t="shared" si="7"/>
        <v>49493</v>
      </c>
      <c r="D114" s="40">
        <f t="shared" si="8"/>
        <v>43391.161668276698</v>
      </c>
      <c r="E114" s="41">
        <f t="shared" si="9"/>
        <v>24658.161668276698</v>
      </c>
      <c r="F114" s="42">
        <f t="shared" si="11"/>
        <v>18733</v>
      </c>
      <c r="G114" s="43">
        <f t="shared" si="10"/>
        <v>0</v>
      </c>
      <c r="H114" s="44">
        <f t="shared" si="12"/>
        <v>2619998.1864992264</v>
      </c>
      <c r="I114" s="40">
        <f t="shared" si="13"/>
        <v>2932679</v>
      </c>
    </row>
    <row r="115" spans="2:9" ht="15.75" customHeight="1" x14ac:dyDescent="0.3">
      <c r="B115" s="31">
        <v>105</v>
      </c>
      <c r="C115" s="32">
        <f t="shared" si="7"/>
        <v>49524</v>
      </c>
      <c r="D115" s="33">
        <f t="shared" si="8"/>
        <v>43391.161668276698</v>
      </c>
      <c r="E115" s="34">
        <f t="shared" si="9"/>
        <v>24833.161668276698</v>
      </c>
      <c r="F115" s="35">
        <f t="shared" si="11"/>
        <v>18558</v>
      </c>
      <c r="G115" s="36">
        <f t="shared" si="10"/>
        <v>0</v>
      </c>
      <c r="H115" s="37">
        <f t="shared" si="12"/>
        <v>2595165.0248309495</v>
      </c>
      <c r="I115" s="33">
        <f t="shared" si="13"/>
        <v>2951237</v>
      </c>
    </row>
    <row r="116" spans="2:9" ht="15.75" customHeight="1" x14ac:dyDescent="0.3">
      <c r="B116" s="38">
        <v>106</v>
      </c>
      <c r="C116" s="39">
        <f t="shared" si="7"/>
        <v>49555</v>
      </c>
      <c r="D116" s="40">
        <f t="shared" si="8"/>
        <v>43391.161668276698</v>
      </c>
      <c r="E116" s="41">
        <f t="shared" si="9"/>
        <v>25009.161668276698</v>
      </c>
      <c r="F116" s="42">
        <f t="shared" si="11"/>
        <v>18382</v>
      </c>
      <c r="G116" s="43">
        <f t="shared" si="10"/>
        <v>0</v>
      </c>
      <c r="H116" s="44">
        <f t="shared" si="12"/>
        <v>2570155.8631626726</v>
      </c>
      <c r="I116" s="40">
        <f t="shared" si="13"/>
        <v>2969619</v>
      </c>
    </row>
    <row r="117" spans="2:9" ht="15.75" customHeight="1" x14ac:dyDescent="0.3">
      <c r="B117" s="31">
        <v>107</v>
      </c>
      <c r="C117" s="32">
        <f t="shared" si="7"/>
        <v>49585</v>
      </c>
      <c r="D117" s="33">
        <f t="shared" si="8"/>
        <v>43391.161668276698</v>
      </c>
      <c r="E117" s="34">
        <f t="shared" si="9"/>
        <v>25186.161668276698</v>
      </c>
      <c r="F117" s="35">
        <f t="shared" si="11"/>
        <v>18205</v>
      </c>
      <c r="G117" s="36">
        <f t="shared" si="10"/>
        <v>0</v>
      </c>
      <c r="H117" s="37">
        <f t="shared" si="12"/>
        <v>2544969.7014943957</v>
      </c>
      <c r="I117" s="33">
        <f t="shared" si="13"/>
        <v>2987824</v>
      </c>
    </row>
    <row r="118" spans="2:9" ht="15.75" customHeight="1" x14ac:dyDescent="0.3">
      <c r="B118" s="38">
        <v>108</v>
      </c>
      <c r="C118" s="39">
        <f t="shared" si="7"/>
        <v>49616</v>
      </c>
      <c r="D118" s="40">
        <f t="shared" si="8"/>
        <v>43391.161668276698</v>
      </c>
      <c r="E118" s="41">
        <f t="shared" si="9"/>
        <v>25364.161668276698</v>
      </c>
      <c r="F118" s="42">
        <f t="shared" si="11"/>
        <v>18027</v>
      </c>
      <c r="G118" s="43">
        <f t="shared" si="10"/>
        <v>100000</v>
      </c>
      <c r="H118" s="44">
        <f t="shared" si="12"/>
        <v>2419605.5398261189</v>
      </c>
      <c r="I118" s="40">
        <f t="shared" si="13"/>
        <v>3005851</v>
      </c>
    </row>
    <row r="119" spans="2:9" ht="15.75" customHeight="1" x14ac:dyDescent="0.3">
      <c r="B119" s="31">
        <v>109</v>
      </c>
      <c r="C119" s="32">
        <f t="shared" si="7"/>
        <v>49646</v>
      </c>
      <c r="D119" s="33">
        <f t="shared" si="8"/>
        <v>43391.161668276698</v>
      </c>
      <c r="E119" s="34">
        <f t="shared" si="9"/>
        <v>26252.161668276698</v>
      </c>
      <c r="F119" s="35">
        <f t="shared" si="11"/>
        <v>17139</v>
      </c>
      <c r="G119" s="36">
        <f t="shared" si="10"/>
        <v>0</v>
      </c>
      <c r="H119" s="37">
        <f t="shared" si="12"/>
        <v>2393353.378157842</v>
      </c>
      <c r="I119" s="33">
        <f t="shared" si="13"/>
        <v>3022990</v>
      </c>
    </row>
    <row r="120" spans="2:9" ht="15.75" customHeight="1" x14ac:dyDescent="0.3">
      <c r="B120" s="38">
        <v>110</v>
      </c>
      <c r="C120" s="39">
        <f t="shared" si="7"/>
        <v>49677</v>
      </c>
      <c r="D120" s="40">
        <f t="shared" si="8"/>
        <v>43391.161668276698</v>
      </c>
      <c r="E120" s="41">
        <f t="shared" si="9"/>
        <v>26438.161668276698</v>
      </c>
      <c r="F120" s="42">
        <f t="shared" si="11"/>
        <v>16953</v>
      </c>
      <c r="G120" s="43">
        <f t="shared" si="10"/>
        <v>0</v>
      </c>
      <c r="H120" s="44">
        <f t="shared" si="12"/>
        <v>2366915.2164895651</v>
      </c>
      <c r="I120" s="40">
        <f t="shared" si="13"/>
        <v>3039943</v>
      </c>
    </row>
    <row r="121" spans="2:9" ht="15.75" customHeight="1" x14ac:dyDescent="0.3">
      <c r="B121" s="31">
        <v>111</v>
      </c>
      <c r="C121" s="32">
        <f t="shared" si="7"/>
        <v>49708</v>
      </c>
      <c r="D121" s="33">
        <f t="shared" si="8"/>
        <v>43391.161668276698</v>
      </c>
      <c r="E121" s="34">
        <f t="shared" si="9"/>
        <v>26625.161668276698</v>
      </c>
      <c r="F121" s="35">
        <f t="shared" si="11"/>
        <v>16766</v>
      </c>
      <c r="G121" s="36">
        <f t="shared" si="10"/>
        <v>0</v>
      </c>
      <c r="H121" s="37">
        <f t="shared" si="12"/>
        <v>2340290.0548212882</v>
      </c>
      <c r="I121" s="33">
        <f t="shared" si="13"/>
        <v>3056709</v>
      </c>
    </row>
    <row r="122" spans="2:9" ht="15.75" customHeight="1" x14ac:dyDescent="0.3">
      <c r="B122" s="38">
        <v>112</v>
      </c>
      <c r="C122" s="39">
        <f t="shared" si="7"/>
        <v>49737</v>
      </c>
      <c r="D122" s="40">
        <f t="shared" si="8"/>
        <v>43391.161668276698</v>
      </c>
      <c r="E122" s="41">
        <f t="shared" si="9"/>
        <v>26814.161668276698</v>
      </c>
      <c r="F122" s="42">
        <f t="shared" si="11"/>
        <v>16577</v>
      </c>
      <c r="G122" s="43">
        <f t="shared" si="10"/>
        <v>0</v>
      </c>
      <c r="H122" s="44">
        <f t="shared" si="12"/>
        <v>2313475.8931530113</v>
      </c>
      <c r="I122" s="40">
        <f t="shared" si="13"/>
        <v>3073286</v>
      </c>
    </row>
    <row r="123" spans="2:9" ht="15.75" customHeight="1" x14ac:dyDescent="0.3">
      <c r="B123" s="31">
        <v>113</v>
      </c>
      <c r="C123" s="32">
        <f t="shared" si="7"/>
        <v>49768</v>
      </c>
      <c r="D123" s="33">
        <f t="shared" si="8"/>
        <v>43391.161668276698</v>
      </c>
      <c r="E123" s="34">
        <f t="shared" si="9"/>
        <v>27004.161668276698</v>
      </c>
      <c r="F123" s="35">
        <f t="shared" si="11"/>
        <v>16387</v>
      </c>
      <c r="G123" s="36">
        <f t="shared" si="10"/>
        <v>0</v>
      </c>
      <c r="H123" s="37">
        <f t="shared" si="12"/>
        <v>2286471.7314847345</v>
      </c>
      <c r="I123" s="33">
        <f t="shared" si="13"/>
        <v>3089673</v>
      </c>
    </row>
    <row r="124" spans="2:9" ht="15.75" customHeight="1" x14ac:dyDescent="0.3">
      <c r="B124" s="38">
        <v>114</v>
      </c>
      <c r="C124" s="39">
        <f t="shared" si="7"/>
        <v>49798</v>
      </c>
      <c r="D124" s="40">
        <f t="shared" si="8"/>
        <v>43391.161668276698</v>
      </c>
      <c r="E124" s="41">
        <f t="shared" si="9"/>
        <v>27195.161668276698</v>
      </c>
      <c r="F124" s="42">
        <f t="shared" si="11"/>
        <v>16196</v>
      </c>
      <c r="G124" s="43">
        <f t="shared" si="10"/>
        <v>0</v>
      </c>
      <c r="H124" s="44">
        <f t="shared" si="12"/>
        <v>2259276.5698164576</v>
      </c>
      <c r="I124" s="40">
        <f t="shared" si="13"/>
        <v>3105869</v>
      </c>
    </row>
    <row r="125" spans="2:9" ht="15.75" customHeight="1" x14ac:dyDescent="0.3">
      <c r="B125" s="31">
        <v>115</v>
      </c>
      <c r="C125" s="32">
        <f t="shared" si="7"/>
        <v>49829</v>
      </c>
      <c r="D125" s="33">
        <f t="shared" si="8"/>
        <v>43391.161668276698</v>
      </c>
      <c r="E125" s="34">
        <f t="shared" si="9"/>
        <v>27388.161668276698</v>
      </c>
      <c r="F125" s="35">
        <f t="shared" si="11"/>
        <v>16003</v>
      </c>
      <c r="G125" s="36">
        <f t="shared" si="10"/>
        <v>0</v>
      </c>
      <c r="H125" s="37">
        <f t="shared" si="12"/>
        <v>2231888.4081481807</v>
      </c>
      <c r="I125" s="33">
        <f t="shared" si="13"/>
        <v>3121872</v>
      </c>
    </row>
    <row r="126" spans="2:9" ht="15.75" customHeight="1" x14ac:dyDescent="0.3">
      <c r="B126" s="38">
        <v>116</v>
      </c>
      <c r="C126" s="39">
        <f t="shared" si="7"/>
        <v>49859</v>
      </c>
      <c r="D126" s="40">
        <f t="shared" si="8"/>
        <v>43391.161668276698</v>
      </c>
      <c r="E126" s="41">
        <f t="shared" si="9"/>
        <v>27582.161668276698</v>
      </c>
      <c r="F126" s="42">
        <f t="shared" si="11"/>
        <v>15809</v>
      </c>
      <c r="G126" s="43">
        <f t="shared" si="10"/>
        <v>0</v>
      </c>
      <c r="H126" s="44">
        <f t="shared" si="12"/>
        <v>2204306.2464799038</v>
      </c>
      <c r="I126" s="40">
        <f t="shared" si="13"/>
        <v>3137681</v>
      </c>
    </row>
    <row r="127" spans="2:9" ht="15.75" customHeight="1" x14ac:dyDescent="0.3">
      <c r="B127" s="31">
        <v>117</v>
      </c>
      <c r="C127" s="32">
        <f t="shared" si="7"/>
        <v>49890</v>
      </c>
      <c r="D127" s="33">
        <f t="shared" si="8"/>
        <v>43391.161668276698</v>
      </c>
      <c r="E127" s="34">
        <f t="shared" si="9"/>
        <v>27777.161668276698</v>
      </c>
      <c r="F127" s="35">
        <f t="shared" si="11"/>
        <v>15614</v>
      </c>
      <c r="G127" s="36">
        <f t="shared" si="10"/>
        <v>0</v>
      </c>
      <c r="H127" s="37">
        <f t="shared" si="12"/>
        <v>2176529.0848116269</v>
      </c>
      <c r="I127" s="33">
        <f t="shared" si="13"/>
        <v>3153295</v>
      </c>
    </row>
    <row r="128" spans="2:9" ht="15.75" customHeight="1" x14ac:dyDescent="0.3">
      <c r="B128" s="38">
        <v>118</v>
      </c>
      <c r="C128" s="39">
        <f t="shared" si="7"/>
        <v>49921</v>
      </c>
      <c r="D128" s="40">
        <f t="shared" si="8"/>
        <v>43391.161668276698</v>
      </c>
      <c r="E128" s="41">
        <f t="shared" si="9"/>
        <v>27974.161668276698</v>
      </c>
      <c r="F128" s="42">
        <f t="shared" si="11"/>
        <v>15417</v>
      </c>
      <c r="G128" s="43">
        <f t="shared" si="10"/>
        <v>0</v>
      </c>
      <c r="H128" s="44">
        <f t="shared" si="12"/>
        <v>2148554.9231433501</v>
      </c>
      <c r="I128" s="40">
        <f t="shared" si="13"/>
        <v>3168712</v>
      </c>
    </row>
    <row r="129" spans="2:9" ht="15.75" customHeight="1" x14ac:dyDescent="0.3">
      <c r="B129" s="31">
        <v>119</v>
      </c>
      <c r="C129" s="32">
        <f t="shared" si="7"/>
        <v>49951</v>
      </c>
      <c r="D129" s="33">
        <f t="shared" si="8"/>
        <v>43391.161668276698</v>
      </c>
      <c r="E129" s="34">
        <f t="shared" si="9"/>
        <v>28172.161668276698</v>
      </c>
      <c r="F129" s="35">
        <f t="shared" si="11"/>
        <v>15219</v>
      </c>
      <c r="G129" s="36">
        <f t="shared" si="10"/>
        <v>0</v>
      </c>
      <c r="H129" s="37">
        <f t="shared" si="12"/>
        <v>2120382.7614750732</v>
      </c>
      <c r="I129" s="33">
        <f t="shared" si="13"/>
        <v>3183931</v>
      </c>
    </row>
    <row r="130" spans="2:9" ht="15.75" customHeight="1" x14ac:dyDescent="0.3">
      <c r="B130" s="38">
        <v>120</v>
      </c>
      <c r="C130" s="39">
        <f t="shared" si="7"/>
        <v>49982</v>
      </c>
      <c r="D130" s="40">
        <f t="shared" si="8"/>
        <v>43391.161668276698</v>
      </c>
      <c r="E130" s="41">
        <f t="shared" si="9"/>
        <v>28372.161668276698</v>
      </c>
      <c r="F130" s="42">
        <f t="shared" si="11"/>
        <v>15019</v>
      </c>
      <c r="G130" s="43">
        <f t="shared" si="10"/>
        <v>100000</v>
      </c>
      <c r="H130" s="44">
        <f t="shared" si="12"/>
        <v>1992010.5998067965</v>
      </c>
      <c r="I130" s="40">
        <f t="shared" si="13"/>
        <v>3198950</v>
      </c>
    </row>
    <row r="131" spans="2:9" ht="15.75" customHeight="1" x14ac:dyDescent="0.3">
      <c r="B131" s="31">
        <v>121</v>
      </c>
      <c r="C131" s="32">
        <f t="shared" si="7"/>
        <v>50012</v>
      </c>
      <c r="D131" s="33">
        <f t="shared" si="8"/>
        <v>43391.161668276698</v>
      </c>
      <c r="E131" s="34">
        <f t="shared" si="9"/>
        <v>29281.161668276698</v>
      </c>
      <c r="F131" s="35">
        <f t="shared" si="11"/>
        <v>14110</v>
      </c>
      <c r="G131" s="36">
        <f t="shared" si="10"/>
        <v>0</v>
      </c>
      <c r="H131" s="37">
        <f t="shared" si="12"/>
        <v>1962729.4381385199</v>
      </c>
      <c r="I131" s="33">
        <f t="shared" si="13"/>
        <v>3213060</v>
      </c>
    </row>
    <row r="132" spans="2:9" ht="15.75" customHeight="1" x14ac:dyDescent="0.3">
      <c r="B132" s="38">
        <v>122</v>
      </c>
      <c r="C132" s="39">
        <f t="shared" si="7"/>
        <v>50043</v>
      </c>
      <c r="D132" s="40">
        <f t="shared" si="8"/>
        <v>43391.161668276698</v>
      </c>
      <c r="E132" s="41">
        <f t="shared" si="9"/>
        <v>29488.161668276698</v>
      </c>
      <c r="F132" s="42">
        <f t="shared" si="11"/>
        <v>13903</v>
      </c>
      <c r="G132" s="43">
        <f t="shared" si="10"/>
        <v>0</v>
      </c>
      <c r="H132" s="44">
        <f t="shared" si="12"/>
        <v>1933241.2764702432</v>
      </c>
      <c r="I132" s="40">
        <f t="shared" si="13"/>
        <v>3226963</v>
      </c>
    </row>
    <row r="133" spans="2:9" ht="15.75" customHeight="1" x14ac:dyDescent="0.3">
      <c r="B133" s="31">
        <v>123</v>
      </c>
      <c r="C133" s="32">
        <f t="shared" si="7"/>
        <v>50074</v>
      </c>
      <c r="D133" s="33">
        <f t="shared" si="8"/>
        <v>43391.161668276698</v>
      </c>
      <c r="E133" s="34">
        <f t="shared" si="9"/>
        <v>29697.161668276698</v>
      </c>
      <c r="F133" s="35">
        <f t="shared" si="11"/>
        <v>13694</v>
      </c>
      <c r="G133" s="36">
        <f t="shared" si="10"/>
        <v>0</v>
      </c>
      <c r="H133" s="37">
        <f t="shared" si="12"/>
        <v>1903544.1148019666</v>
      </c>
      <c r="I133" s="33">
        <f t="shared" si="13"/>
        <v>3240657</v>
      </c>
    </row>
    <row r="134" spans="2:9" ht="15.75" customHeight="1" x14ac:dyDescent="0.3">
      <c r="B134" s="38">
        <v>124</v>
      </c>
      <c r="C134" s="39">
        <f t="shared" si="7"/>
        <v>50102</v>
      </c>
      <c r="D134" s="40">
        <f t="shared" si="8"/>
        <v>43391.161668276698</v>
      </c>
      <c r="E134" s="41">
        <f t="shared" si="9"/>
        <v>29908.161668276698</v>
      </c>
      <c r="F134" s="42">
        <f t="shared" si="11"/>
        <v>13483</v>
      </c>
      <c r="G134" s="43">
        <f t="shared" si="10"/>
        <v>0</v>
      </c>
      <c r="H134" s="44">
        <f t="shared" si="12"/>
        <v>1873635.9531336899</v>
      </c>
      <c r="I134" s="40">
        <f t="shared" si="13"/>
        <v>3254140</v>
      </c>
    </row>
    <row r="135" spans="2:9" ht="15.75" customHeight="1" x14ac:dyDescent="0.3">
      <c r="B135" s="31">
        <v>125</v>
      </c>
      <c r="C135" s="32">
        <f t="shared" si="7"/>
        <v>50133</v>
      </c>
      <c r="D135" s="33">
        <f t="shared" si="8"/>
        <v>43391.161668276698</v>
      </c>
      <c r="E135" s="34">
        <f t="shared" si="9"/>
        <v>30119.161668276698</v>
      </c>
      <c r="F135" s="35">
        <f t="shared" si="11"/>
        <v>13272</v>
      </c>
      <c r="G135" s="36">
        <f t="shared" si="10"/>
        <v>0</v>
      </c>
      <c r="H135" s="37">
        <f t="shared" si="12"/>
        <v>1843516.7914654133</v>
      </c>
      <c r="I135" s="33">
        <f t="shared" si="13"/>
        <v>3267412</v>
      </c>
    </row>
    <row r="136" spans="2:9" ht="15.75" customHeight="1" x14ac:dyDescent="0.3">
      <c r="B136" s="38">
        <v>126</v>
      </c>
      <c r="C136" s="39">
        <f t="shared" si="7"/>
        <v>50163</v>
      </c>
      <c r="D136" s="40">
        <f t="shared" si="8"/>
        <v>43391.161668276698</v>
      </c>
      <c r="E136" s="41">
        <f t="shared" si="9"/>
        <v>30333.161668276698</v>
      </c>
      <c r="F136" s="42">
        <f t="shared" si="11"/>
        <v>13058</v>
      </c>
      <c r="G136" s="43">
        <f t="shared" si="10"/>
        <v>0</v>
      </c>
      <c r="H136" s="44">
        <f t="shared" si="12"/>
        <v>1813183.6297971366</v>
      </c>
      <c r="I136" s="40">
        <f t="shared" si="13"/>
        <v>3280470</v>
      </c>
    </row>
    <row r="137" spans="2:9" ht="15.75" customHeight="1" x14ac:dyDescent="0.3">
      <c r="B137" s="31">
        <v>127</v>
      </c>
      <c r="C137" s="32">
        <f t="shared" si="7"/>
        <v>50194</v>
      </c>
      <c r="D137" s="33">
        <f t="shared" si="8"/>
        <v>43391.161668276698</v>
      </c>
      <c r="E137" s="34">
        <f t="shared" si="9"/>
        <v>30548.161668276698</v>
      </c>
      <c r="F137" s="35">
        <f t="shared" si="11"/>
        <v>12843</v>
      </c>
      <c r="G137" s="36">
        <f t="shared" si="10"/>
        <v>0</v>
      </c>
      <c r="H137" s="37">
        <f t="shared" si="12"/>
        <v>1782635.46812886</v>
      </c>
      <c r="I137" s="33">
        <f t="shared" si="13"/>
        <v>3293313</v>
      </c>
    </row>
    <row r="138" spans="2:9" ht="15.75" customHeight="1" x14ac:dyDescent="0.3">
      <c r="B138" s="38">
        <v>128</v>
      </c>
      <c r="C138" s="39">
        <f t="shared" si="7"/>
        <v>50224</v>
      </c>
      <c r="D138" s="40">
        <f t="shared" si="8"/>
        <v>43391.161668276698</v>
      </c>
      <c r="E138" s="41">
        <f t="shared" si="9"/>
        <v>30764.161668276698</v>
      </c>
      <c r="F138" s="42">
        <f t="shared" si="11"/>
        <v>12627</v>
      </c>
      <c r="G138" s="43">
        <f t="shared" si="10"/>
        <v>0</v>
      </c>
      <c r="H138" s="44">
        <f t="shared" si="12"/>
        <v>1751871.3064605833</v>
      </c>
      <c r="I138" s="40">
        <f t="shared" si="13"/>
        <v>3305940</v>
      </c>
    </row>
    <row r="139" spans="2:9" ht="15.75" customHeight="1" x14ac:dyDescent="0.3">
      <c r="B139" s="31">
        <v>129</v>
      </c>
      <c r="C139" s="32">
        <f t="shared" ref="C139:C202" si="14">IFERROR(EDATE($C$7,B139),"")</f>
        <v>50255</v>
      </c>
      <c r="D139" s="33">
        <f t="shared" ref="D139:D202" si="15">IFERROR(IF(H138&gt;0,$F$6,0),0)</f>
        <v>43391.161668276698</v>
      </c>
      <c r="E139" s="34">
        <f t="shared" ref="E139:E202" si="16">IFERROR(D139-F139,0)</f>
        <v>30982.161668276698</v>
      </c>
      <c r="F139" s="35">
        <f t="shared" si="11"/>
        <v>12409</v>
      </c>
      <c r="G139" s="36">
        <f t="shared" ref="G139:G202" si="17">IFERROR(IF(H138&lt;=0,0,IF($C$8="Monthly",$F$7,IF(AND($C$8="Yearly",MOD(B139,12)=0),$F$7,IF(AND($C$8="One-time",B139=1),$F$7,0)))),0)</f>
        <v>0</v>
      </c>
      <c r="H139" s="37">
        <f t="shared" si="12"/>
        <v>1720889.1447923067</v>
      </c>
      <c r="I139" s="33">
        <f t="shared" si="13"/>
        <v>3318349</v>
      </c>
    </row>
    <row r="140" spans="2:9" ht="15.75" customHeight="1" x14ac:dyDescent="0.3">
      <c r="B140" s="38">
        <v>130</v>
      </c>
      <c r="C140" s="39">
        <f t="shared" si="14"/>
        <v>50286</v>
      </c>
      <c r="D140" s="40">
        <f t="shared" si="15"/>
        <v>43391.161668276698</v>
      </c>
      <c r="E140" s="41">
        <f t="shared" si="16"/>
        <v>31201.161668276698</v>
      </c>
      <c r="F140" s="42">
        <f t="shared" ref="F140:F203" si="18">IFERROR(IF(H139&gt;0,ROUND(H139*$F$5/12,0),0),0)</f>
        <v>12190</v>
      </c>
      <c r="G140" s="43">
        <f t="shared" si="17"/>
        <v>0</v>
      </c>
      <c r="H140" s="44">
        <f t="shared" ref="H140:H203" si="19">IFERROR(MAX(H139-E140-G140,0),0)</f>
        <v>1689687.9831240301</v>
      </c>
      <c r="I140" s="40">
        <f t="shared" ref="I140:I203" si="20">I139+F140</f>
        <v>3330539</v>
      </c>
    </row>
    <row r="141" spans="2:9" ht="15.75" customHeight="1" x14ac:dyDescent="0.3">
      <c r="B141" s="31">
        <v>131</v>
      </c>
      <c r="C141" s="32">
        <f t="shared" si="14"/>
        <v>50316</v>
      </c>
      <c r="D141" s="33">
        <f t="shared" si="15"/>
        <v>43391.161668276698</v>
      </c>
      <c r="E141" s="34">
        <f t="shared" si="16"/>
        <v>31422.161668276698</v>
      </c>
      <c r="F141" s="35">
        <f t="shared" si="18"/>
        <v>11969</v>
      </c>
      <c r="G141" s="36">
        <f t="shared" si="17"/>
        <v>0</v>
      </c>
      <c r="H141" s="37">
        <f t="shared" si="19"/>
        <v>1658265.8214557534</v>
      </c>
      <c r="I141" s="33">
        <f t="shared" si="20"/>
        <v>3342508</v>
      </c>
    </row>
    <row r="142" spans="2:9" ht="15.75" customHeight="1" x14ac:dyDescent="0.3">
      <c r="B142" s="38">
        <v>132</v>
      </c>
      <c r="C142" s="39">
        <f t="shared" si="14"/>
        <v>50347</v>
      </c>
      <c r="D142" s="40">
        <f t="shared" si="15"/>
        <v>43391.161668276698</v>
      </c>
      <c r="E142" s="41">
        <f t="shared" si="16"/>
        <v>31645.161668276698</v>
      </c>
      <c r="F142" s="42">
        <f t="shared" si="18"/>
        <v>11746</v>
      </c>
      <c r="G142" s="43">
        <f t="shared" si="17"/>
        <v>100000</v>
      </c>
      <c r="H142" s="44">
        <f t="shared" si="19"/>
        <v>1526620.6597874768</v>
      </c>
      <c r="I142" s="40">
        <f t="shared" si="20"/>
        <v>3354254</v>
      </c>
    </row>
    <row r="143" spans="2:9" ht="15.75" customHeight="1" x14ac:dyDescent="0.3">
      <c r="B143" s="31">
        <v>133</v>
      </c>
      <c r="C143" s="32">
        <f t="shared" si="14"/>
        <v>50377</v>
      </c>
      <c r="D143" s="33">
        <f t="shared" si="15"/>
        <v>43391.161668276698</v>
      </c>
      <c r="E143" s="34">
        <f t="shared" si="16"/>
        <v>32577.161668276698</v>
      </c>
      <c r="F143" s="35">
        <f t="shared" si="18"/>
        <v>10814</v>
      </c>
      <c r="G143" s="36">
        <f t="shared" si="17"/>
        <v>0</v>
      </c>
      <c r="H143" s="37">
        <f t="shared" si="19"/>
        <v>1494043.4981192001</v>
      </c>
      <c r="I143" s="33">
        <f t="shared" si="20"/>
        <v>3365068</v>
      </c>
    </row>
    <row r="144" spans="2:9" ht="15.75" customHeight="1" x14ac:dyDescent="0.3">
      <c r="B144" s="38">
        <v>134</v>
      </c>
      <c r="C144" s="39">
        <f t="shared" si="14"/>
        <v>50408</v>
      </c>
      <c r="D144" s="40">
        <f t="shared" si="15"/>
        <v>43391.161668276698</v>
      </c>
      <c r="E144" s="41">
        <f t="shared" si="16"/>
        <v>32808.161668276698</v>
      </c>
      <c r="F144" s="42">
        <f t="shared" si="18"/>
        <v>10583</v>
      </c>
      <c r="G144" s="43">
        <f t="shared" si="17"/>
        <v>0</v>
      </c>
      <c r="H144" s="44">
        <f t="shared" si="19"/>
        <v>1461235.3364509235</v>
      </c>
      <c r="I144" s="40">
        <f t="shared" si="20"/>
        <v>3375651</v>
      </c>
    </row>
    <row r="145" spans="2:9" ht="15.75" customHeight="1" x14ac:dyDescent="0.3">
      <c r="B145" s="31">
        <v>135</v>
      </c>
      <c r="C145" s="32">
        <f t="shared" si="14"/>
        <v>50439</v>
      </c>
      <c r="D145" s="33">
        <f t="shared" si="15"/>
        <v>43391.161668276698</v>
      </c>
      <c r="E145" s="34">
        <f t="shared" si="16"/>
        <v>33041.161668276698</v>
      </c>
      <c r="F145" s="35">
        <f t="shared" si="18"/>
        <v>10350</v>
      </c>
      <c r="G145" s="36">
        <f t="shared" si="17"/>
        <v>0</v>
      </c>
      <c r="H145" s="37">
        <f t="shared" si="19"/>
        <v>1428194.1747826468</v>
      </c>
      <c r="I145" s="33">
        <f t="shared" si="20"/>
        <v>3386001</v>
      </c>
    </row>
    <row r="146" spans="2:9" ht="15.75" customHeight="1" x14ac:dyDescent="0.3">
      <c r="B146" s="38">
        <v>136</v>
      </c>
      <c r="C146" s="39">
        <f t="shared" si="14"/>
        <v>50467</v>
      </c>
      <c r="D146" s="40">
        <f t="shared" si="15"/>
        <v>43391.161668276698</v>
      </c>
      <c r="E146" s="41">
        <f t="shared" si="16"/>
        <v>33275.161668276698</v>
      </c>
      <c r="F146" s="42">
        <f t="shared" si="18"/>
        <v>10116</v>
      </c>
      <c r="G146" s="43">
        <f t="shared" si="17"/>
        <v>0</v>
      </c>
      <c r="H146" s="44">
        <f t="shared" si="19"/>
        <v>1394919.0131143702</v>
      </c>
      <c r="I146" s="40">
        <f t="shared" si="20"/>
        <v>3396117</v>
      </c>
    </row>
    <row r="147" spans="2:9" ht="15.75" customHeight="1" x14ac:dyDescent="0.3">
      <c r="B147" s="31">
        <v>137</v>
      </c>
      <c r="C147" s="32">
        <f t="shared" si="14"/>
        <v>50498</v>
      </c>
      <c r="D147" s="33">
        <f t="shared" si="15"/>
        <v>43391.161668276698</v>
      </c>
      <c r="E147" s="34">
        <f t="shared" si="16"/>
        <v>33510.161668276698</v>
      </c>
      <c r="F147" s="35">
        <f t="shared" si="18"/>
        <v>9881</v>
      </c>
      <c r="G147" s="36">
        <f t="shared" si="17"/>
        <v>0</v>
      </c>
      <c r="H147" s="37">
        <f t="shared" si="19"/>
        <v>1361408.8514460935</v>
      </c>
      <c r="I147" s="33">
        <f t="shared" si="20"/>
        <v>3405998</v>
      </c>
    </row>
    <row r="148" spans="2:9" ht="15.75" customHeight="1" x14ac:dyDescent="0.3">
      <c r="B148" s="38">
        <v>138</v>
      </c>
      <c r="C148" s="39">
        <f t="shared" si="14"/>
        <v>50528</v>
      </c>
      <c r="D148" s="40">
        <f t="shared" si="15"/>
        <v>43391.161668276698</v>
      </c>
      <c r="E148" s="41">
        <f t="shared" si="16"/>
        <v>33748.161668276698</v>
      </c>
      <c r="F148" s="42">
        <f t="shared" si="18"/>
        <v>9643</v>
      </c>
      <c r="G148" s="43">
        <f t="shared" si="17"/>
        <v>0</v>
      </c>
      <c r="H148" s="44">
        <f t="shared" si="19"/>
        <v>1327660.6897778169</v>
      </c>
      <c r="I148" s="40">
        <f t="shared" si="20"/>
        <v>3415641</v>
      </c>
    </row>
    <row r="149" spans="2:9" ht="15.75" customHeight="1" x14ac:dyDescent="0.3">
      <c r="B149" s="31">
        <v>139</v>
      </c>
      <c r="C149" s="32">
        <f t="shared" si="14"/>
        <v>50559</v>
      </c>
      <c r="D149" s="33">
        <f t="shared" si="15"/>
        <v>43391.161668276698</v>
      </c>
      <c r="E149" s="34">
        <f t="shared" si="16"/>
        <v>33987.161668276698</v>
      </c>
      <c r="F149" s="35">
        <f t="shared" si="18"/>
        <v>9404</v>
      </c>
      <c r="G149" s="36">
        <f t="shared" si="17"/>
        <v>0</v>
      </c>
      <c r="H149" s="37">
        <f t="shared" si="19"/>
        <v>1293673.5281095402</v>
      </c>
      <c r="I149" s="33">
        <f t="shared" si="20"/>
        <v>3425045</v>
      </c>
    </row>
    <row r="150" spans="2:9" ht="15.75" customHeight="1" x14ac:dyDescent="0.3">
      <c r="B150" s="38">
        <v>140</v>
      </c>
      <c r="C150" s="39">
        <f t="shared" si="14"/>
        <v>50589</v>
      </c>
      <c r="D150" s="40">
        <f t="shared" si="15"/>
        <v>43391.161668276698</v>
      </c>
      <c r="E150" s="41">
        <f t="shared" si="16"/>
        <v>34227.161668276698</v>
      </c>
      <c r="F150" s="42">
        <f t="shared" si="18"/>
        <v>9164</v>
      </c>
      <c r="G150" s="43">
        <f t="shared" si="17"/>
        <v>0</v>
      </c>
      <c r="H150" s="44">
        <f t="shared" si="19"/>
        <v>1259446.3664412636</v>
      </c>
      <c r="I150" s="40">
        <f t="shared" si="20"/>
        <v>3434209</v>
      </c>
    </row>
    <row r="151" spans="2:9" ht="15.75" customHeight="1" x14ac:dyDescent="0.3">
      <c r="B151" s="31">
        <v>141</v>
      </c>
      <c r="C151" s="32">
        <f t="shared" si="14"/>
        <v>50620</v>
      </c>
      <c r="D151" s="33">
        <f t="shared" si="15"/>
        <v>43391.161668276698</v>
      </c>
      <c r="E151" s="34">
        <f t="shared" si="16"/>
        <v>34470.161668276698</v>
      </c>
      <c r="F151" s="35">
        <f t="shared" si="18"/>
        <v>8921</v>
      </c>
      <c r="G151" s="36">
        <f t="shared" si="17"/>
        <v>0</v>
      </c>
      <c r="H151" s="37">
        <f t="shared" si="19"/>
        <v>1224976.2047729869</v>
      </c>
      <c r="I151" s="33">
        <f t="shared" si="20"/>
        <v>3443130</v>
      </c>
    </row>
    <row r="152" spans="2:9" ht="15.75" customHeight="1" x14ac:dyDescent="0.3">
      <c r="B152" s="38">
        <v>142</v>
      </c>
      <c r="C152" s="39">
        <f t="shared" si="14"/>
        <v>50651</v>
      </c>
      <c r="D152" s="40">
        <f t="shared" si="15"/>
        <v>43391.161668276698</v>
      </c>
      <c r="E152" s="41">
        <f t="shared" si="16"/>
        <v>34714.161668276698</v>
      </c>
      <c r="F152" s="42">
        <f t="shared" si="18"/>
        <v>8677</v>
      </c>
      <c r="G152" s="43">
        <f t="shared" si="17"/>
        <v>0</v>
      </c>
      <c r="H152" s="44">
        <f t="shared" si="19"/>
        <v>1190262.0431047103</v>
      </c>
      <c r="I152" s="40">
        <f t="shared" si="20"/>
        <v>3451807</v>
      </c>
    </row>
    <row r="153" spans="2:9" ht="15.75" customHeight="1" x14ac:dyDescent="0.3">
      <c r="B153" s="31">
        <v>143</v>
      </c>
      <c r="C153" s="32">
        <f t="shared" si="14"/>
        <v>50681</v>
      </c>
      <c r="D153" s="33">
        <f t="shared" si="15"/>
        <v>43391.161668276698</v>
      </c>
      <c r="E153" s="34">
        <f t="shared" si="16"/>
        <v>34960.161668276698</v>
      </c>
      <c r="F153" s="35">
        <f t="shared" si="18"/>
        <v>8431</v>
      </c>
      <c r="G153" s="36">
        <f t="shared" si="17"/>
        <v>0</v>
      </c>
      <c r="H153" s="37">
        <f t="shared" si="19"/>
        <v>1155301.8814364336</v>
      </c>
      <c r="I153" s="33">
        <f t="shared" si="20"/>
        <v>3460238</v>
      </c>
    </row>
    <row r="154" spans="2:9" ht="15.75" customHeight="1" x14ac:dyDescent="0.3">
      <c r="B154" s="38">
        <v>144</v>
      </c>
      <c r="C154" s="39">
        <f t="shared" si="14"/>
        <v>50712</v>
      </c>
      <c r="D154" s="40">
        <f t="shared" si="15"/>
        <v>43391.161668276698</v>
      </c>
      <c r="E154" s="41">
        <f t="shared" si="16"/>
        <v>35208.161668276698</v>
      </c>
      <c r="F154" s="42">
        <f t="shared" si="18"/>
        <v>8183</v>
      </c>
      <c r="G154" s="43">
        <f t="shared" si="17"/>
        <v>100000</v>
      </c>
      <c r="H154" s="44">
        <f t="shared" si="19"/>
        <v>1020093.719768157</v>
      </c>
      <c r="I154" s="40">
        <f t="shared" si="20"/>
        <v>3468421</v>
      </c>
    </row>
    <row r="155" spans="2:9" ht="15.75" customHeight="1" x14ac:dyDescent="0.3">
      <c r="B155" s="31">
        <v>145</v>
      </c>
      <c r="C155" s="32">
        <f t="shared" si="14"/>
        <v>50742</v>
      </c>
      <c r="D155" s="33">
        <f t="shared" si="15"/>
        <v>43391.161668276698</v>
      </c>
      <c r="E155" s="34">
        <f t="shared" si="16"/>
        <v>36165.161668276698</v>
      </c>
      <c r="F155" s="35">
        <f t="shared" si="18"/>
        <v>7226</v>
      </c>
      <c r="G155" s="36">
        <f t="shared" si="17"/>
        <v>0</v>
      </c>
      <c r="H155" s="37">
        <f t="shared" si="19"/>
        <v>983928.55809988035</v>
      </c>
      <c r="I155" s="33">
        <f t="shared" si="20"/>
        <v>3475647</v>
      </c>
    </row>
    <row r="156" spans="2:9" ht="15.75" customHeight="1" x14ac:dyDescent="0.3">
      <c r="B156" s="38">
        <v>146</v>
      </c>
      <c r="C156" s="39">
        <f t="shared" si="14"/>
        <v>50773</v>
      </c>
      <c r="D156" s="40">
        <f t="shared" si="15"/>
        <v>43391.161668276698</v>
      </c>
      <c r="E156" s="41">
        <f t="shared" si="16"/>
        <v>36422.161668276698</v>
      </c>
      <c r="F156" s="42">
        <f t="shared" si="18"/>
        <v>6969</v>
      </c>
      <c r="G156" s="43">
        <f t="shared" si="17"/>
        <v>0</v>
      </c>
      <c r="H156" s="44">
        <f t="shared" si="19"/>
        <v>947506.3964316037</v>
      </c>
      <c r="I156" s="40">
        <f t="shared" si="20"/>
        <v>3482616</v>
      </c>
    </row>
    <row r="157" spans="2:9" ht="15.75" customHeight="1" x14ac:dyDescent="0.3">
      <c r="B157" s="31">
        <v>147</v>
      </c>
      <c r="C157" s="32">
        <f t="shared" si="14"/>
        <v>50804</v>
      </c>
      <c r="D157" s="33">
        <f t="shared" si="15"/>
        <v>43391.161668276698</v>
      </c>
      <c r="E157" s="34">
        <f t="shared" si="16"/>
        <v>36679.161668276698</v>
      </c>
      <c r="F157" s="35">
        <f t="shared" si="18"/>
        <v>6712</v>
      </c>
      <c r="G157" s="36">
        <f t="shared" si="17"/>
        <v>0</v>
      </c>
      <c r="H157" s="37">
        <f t="shared" si="19"/>
        <v>910827.23476332705</v>
      </c>
      <c r="I157" s="33">
        <f t="shared" si="20"/>
        <v>3489328</v>
      </c>
    </row>
    <row r="158" spans="2:9" ht="15.75" customHeight="1" x14ac:dyDescent="0.3">
      <c r="B158" s="38">
        <v>148</v>
      </c>
      <c r="C158" s="39">
        <f t="shared" si="14"/>
        <v>50832</v>
      </c>
      <c r="D158" s="40">
        <f t="shared" si="15"/>
        <v>43391.161668276698</v>
      </c>
      <c r="E158" s="41">
        <f t="shared" si="16"/>
        <v>36939.161668276698</v>
      </c>
      <c r="F158" s="42">
        <f t="shared" si="18"/>
        <v>6452</v>
      </c>
      <c r="G158" s="43">
        <f t="shared" si="17"/>
        <v>0</v>
      </c>
      <c r="H158" s="44">
        <f t="shared" si="19"/>
        <v>873888.07309505041</v>
      </c>
      <c r="I158" s="40">
        <f t="shared" si="20"/>
        <v>3495780</v>
      </c>
    </row>
    <row r="159" spans="2:9" ht="15.75" customHeight="1" x14ac:dyDescent="0.3">
      <c r="B159" s="31">
        <v>149</v>
      </c>
      <c r="C159" s="32">
        <f t="shared" si="14"/>
        <v>50863</v>
      </c>
      <c r="D159" s="33">
        <f t="shared" si="15"/>
        <v>43391.161668276698</v>
      </c>
      <c r="E159" s="34">
        <f t="shared" si="16"/>
        <v>37201.161668276698</v>
      </c>
      <c r="F159" s="35">
        <f t="shared" si="18"/>
        <v>6190</v>
      </c>
      <c r="G159" s="36">
        <f t="shared" si="17"/>
        <v>0</v>
      </c>
      <c r="H159" s="37">
        <f t="shared" si="19"/>
        <v>836686.91142677376</v>
      </c>
      <c r="I159" s="33">
        <f t="shared" si="20"/>
        <v>3501970</v>
      </c>
    </row>
    <row r="160" spans="2:9" ht="15.75" customHeight="1" x14ac:dyDescent="0.3">
      <c r="B160" s="38">
        <v>150</v>
      </c>
      <c r="C160" s="39">
        <f t="shared" si="14"/>
        <v>50893</v>
      </c>
      <c r="D160" s="40">
        <f t="shared" si="15"/>
        <v>43391.161668276698</v>
      </c>
      <c r="E160" s="41">
        <f t="shared" si="16"/>
        <v>37464.161668276698</v>
      </c>
      <c r="F160" s="42">
        <f t="shared" si="18"/>
        <v>5927</v>
      </c>
      <c r="G160" s="43">
        <f t="shared" si="17"/>
        <v>0</v>
      </c>
      <c r="H160" s="44">
        <f t="shared" si="19"/>
        <v>799222.74975849711</v>
      </c>
      <c r="I160" s="40">
        <f t="shared" si="20"/>
        <v>3507897</v>
      </c>
    </row>
    <row r="161" spans="2:9" ht="15.75" customHeight="1" x14ac:dyDescent="0.3">
      <c r="B161" s="31">
        <v>151</v>
      </c>
      <c r="C161" s="32">
        <f t="shared" si="14"/>
        <v>50924</v>
      </c>
      <c r="D161" s="33">
        <f t="shared" si="15"/>
        <v>43391.161668276698</v>
      </c>
      <c r="E161" s="34">
        <f t="shared" si="16"/>
        <v>37730.161668276698</v>
      </c>
      <c r="F161" s="35">
        <f t="shared" si="18"/>
        <v>5661</v>
      </c>
      <c r="G161" s="36">
        <f t="shared" si="17"/>
        <v>0</v>
      </c>
      <c r="H161" s="37">
        <f t="shared" si="19"/>
        <v>761492.58809022047</v>
      </c>
      <c r="I161" s="33">
        <f t="shared" si="20"/>
        <v>3513558</v>
      </c>
    </row>
    <row r="162" spans="2:9" ht="15.75" customHeight="1" x14ac:dyDescent="0.3">
      <c r="B162" s="38">
        <v>152</v>
      </c>
      <c r="C162" s="39">
        <f t="shared" si="14"/>
        <v>50954</v>
      </c>
      <c r="D162" s="40">
        <f t="shared" si="15"/>
        <v>43391.161668276698</v>
      </c>
      <c r="E162" s="41">
        <f t="shared" si="16"/>
        <v>37997.161668276698</v>
      </c>
      <c r="F162" s="42">
        <f t="shared" si="18"/>
        <v>5394</v>
      </c>
      <c r="G162" s="43">
        <f t="shared" si="17"/>
        <v>0</v>
      </c>
      <c r="H162" s="44">
        <f t="shared" si="19"/>
        <v>723495.42642194382</v>
      </c>
      <c r="I162" s="40">
        <f t="shared" si="20"/>
        <v>3518952</v>
      </c>
    </row>
    <row r="163" spans="2:9" ht="15.75" customHeight="1" x14ac:dyDescent="0.3">
      <c r="B163" s="31">
        <v>153</v>
      </c>
      <c r="C163" s="32">
        <f t="shared" si="14"/>
        <v>50985</v>
      </c>
      <c r="D163" s="33">
        <f t="shared" si="15"/>
        <v>43391.161668276698</v>
      </c>
      <c r="E163" s="34">
        <f t="shared" si="16"/>
        <v>38266.161668276698</v>
      </c>
      <c r="F163" s="35">
        <f t="shared" si="18"/>
        <v>5125</v>
      </c>
      <c r="G163" s="36">
        <f t="shared" si="17"/>
        <v>0</v>
      </c>
      <c r="H163" s="37">
        <f t="shared" si="19"/>
        <v>685229.26475366717</v>
      </c>
      <c r="I163" s="33">
        <f t="shared" si="20"/>
        <v>3524077</v>
      </c>
    </row>
    <row r="164" spans="2:9" ht="15.75" customHeight="1" x14ac:dyDescent="0.3">
      <c r="B164" s="38">
        <v>154</v>
      </c>
      <c r="C164" s="39">
        <f t="shared" si="14"/>
        <v>51016</v>
      </c>
      <c r="D164" s="40">
        <f t="shared" si="15"/>
        <v>43391.161668276698</v>
      </c>
      <c r="E164" s="41">
        <f t="shared" si="16"/>
        <v>38537.161668276698</v>
      </c>
      <c r="F164" s="42">
        <f t="shared" si="18"/>
        <v>4854</v>
      </c>
      <c r="G164" s="43">
        <f t="shared" si="17"/>
        <v>0</v>
      </c>
      <c r="H164" s="44">
        <f t="shared" si="19"/>
        <v>646692.10308539052</v>
      </c>
      <c r="I164" s="40">
        <f t="shared" si="20"/>
        <v>3528931</v>
      </c>
    </row>
    <row r="165" spans="2:9" ht="15.75" customHeight="1" x14ac:dyDescent="0.3">
      <c r="B165" s="31">
        <v>155</v>
      </c>
      <c r="C165" s="32">
        <f t="shared" si="14"/>
        <v>51046</v>
      </c>
      <c r="D165" s="33">
        <f t="shared" si="15"/>
        <v>43391.161668276698</v>
      </c>
      <c r="E165" s="34">
        <f t="shared" si="16"/>
        <v>38810.161668276698</v>
      </c>
      <c r="F165" s="35">
        <f t="shared" si="18"/>
        <v>4581</v>
      </c>
      <c r="G165" s="36">
        <f t="shared" si="17"/>
        <v>0</v>
      </c>
      <c r="H165" s="37">
        <f t="shared" si="19"/>
        <v>607881.94141711388</v>
      </c>
      <c r="I165" s="33">
        <f t="shared" si="20"/>
        <v>3533512</v>
      </c>
    </row>
    <row r="166" spans="2:9" ht="15.75" customHeight="1" x14ac:dyDescent="0.3">
      <c r="B166" s="38">
        <v>156</v>
      </c>
      <c r="C166" s="39">
        <f t="shared" si="14"/>
        <v>51077</v>
      </c>
      <c r="D166" s="40">
        <f t="shared" si="15"/>
        <v>43391.161668276698</v>
      </c>
      <c r="E166" s="41">
        <f t="shared" si="16"/>
        <v>39085.161668276698</v>
      </c>
      <c r="F166" s="42">
        <f t="shared" si="18"/>
        <v>4306</v>
      </c>
      <c r="G166" s="43">
        <f t="shared" si="17"/>
        <v>100000</v>
      </c>
      <c r="H166" s="44">
        <f t="shared" si="19"/>
        <v>468796.77974883723</v>
      </c>
      <c r="I166" s="40">
        <f t="shared" si="20"/>
        <v>3537818</v>
      </c>
    </row>
    <row r="167" spans="2:9" ht="15.75" customHeight="1" x14ac:dyDescent="0.3">
      <c r="B167" s="31">
        <v>157</v>
      </c>
      <c r="C167" s="32">
        <f t="shared" si="14"/>
        <v>51107</v>
      </c>
      <c r="D167" s="33">
        <f t="shared" si="15"/>
        <v>43391.161668276698</v>
      </c>
      <c r="E167" s="34">
        <f t="shared" si="16"/>
        <v>40070.161668276698</v>
      </c>
      <c r="F167" s="35">
        <f t="shared" si="18"/>
        <v>3321</v>
      </c>
      <c r="G167" s="36">
        <f t="shared" si="17"/>
        <v>0</v>
      </c>
      <c r="H167" s="37">
        <f t="shared" si="19"/>
        <v>428726.61808056053</v>
      </c>
      <c r="I167" s="33">
        <f t="shared" si="20"/>
        <v>3541139</v>
      </c>
    </row>
    <row r="168" spans="2:9" ht="15.75" customHeight="1" x14ac:dyDescent="0.3">
      <c r="B168" s="38">
        <v>158</v>
      </c>
      <c r="C168" s="39">
        <f t="shared" si="14"/>
        <v>51138</v>
      </c>
      <c r="D168" s="40">
        <f t="shared" si="15"/>
        <v>43391.161668276698</v>
      </c>
      <c r="E168" s="41">
        <f t="shared" si="16"/>
        <v>40354.161668276698</v>
      </c>
      <c r="F168" s="42">
        <f t="shared" si="18"/>
        <v>3037</v>
      </c>
      <c r="G168" s="43">
        <f t="shared" si="17"/>
        <v>0</v>
      </c>
      <c r="H168" s="44">
        <f t="shared" si="19"/>
        <v>388372.45641228382</v>
      </c>
      <c r="I168" s="40">
        <f t="shared" si="20"/>
        <v>3544176</v>
      </c>
    </row>
    <row r="169" spans="2:9" ht="15.75" customHeight="1" x14ac:dyDescent="0.3">
      <c r="B169" s="31">
        <v>159</v>
      </c>
      <c r="C169" s="32">
        <f t="shared" si="14"/>
        <v>51169</v>
      </c>
      <c r="D169" s="33">
        <f t="shared" si="15"/>
        <v>43391.161668276698</v>
      </c>
      <c r="E169" s="34">
        <f t="shared" si="16"/>
        <v>40640.161668276698</v>
      </c>
      <c r="F169" s="35">
        <f t="shared" si="18"/>
        <v>2751</v>
      </c>
      <c r="G169" s="36">
        <f t="shared" si="17"/>
        <v>0</v>
      </c>
      <c r="H169" s="37">
        <f t="shared" si="19"/>
        <v>347732.29474400711</v>
      </c>
      <c r="I169" s="33">
        <f t="shared" si="20"/>
        <v>3546927</v>
      </c>
    </row>
    <row r="170" spans="2:9" ht="15.75" customHeight="1" x14ac:dyDescent="0.3">
      <c r="B170" s="38">
        <v>160</v>
      </c>
      <c r="C170" s="39">
        <f t="shared" si="14"/>
        <v>51198</v>
      </c>
      <c r="D170" s="40">
        <f t="shared" si="15"/>
        <v>43391.161668276698</v>
      </c>
      <c r="E170" s="41">
        <f t="shared" si="16"/>
        <v>40928.161668276698</v>
      </c>
      <c r="F170" s="42">
        <f t="shared" si="18"/>
        <v>2463</v>
      </c>
      <c r="G170" s="43">
        <f t="shared" si="17"/>
        <v>0</v>
      </c>
      <c r="H170" s="44">
        <f t="shared" si="19"/>
        <v>306804.13307573041</v>
      </c>
      <c r="I170" s="40">
        <f t="shared" si="20"/>
        <v>3549390</v>
      </c>
    </row>
    <row r="171" spans="2:9" ht="15.75" customHeight="1" x14ac:dyDescent="0.3">
      <c r="B171" s="31">
        <v>161</v>
      </c>
      <c r="C171" s="32">
        <f t="shared" si="14"/>
        <v>51229</v>
      </c>
      <c r="D171" s="33">
        <f t="shared" si="15"/>
        <v>43391.161668276698</v>
      </c>
      <c r="E171" s="34">
        <f t="shared" si="16"/>
        <v>41218.161668276698</v>
      </c>
      <c r="F171" s="35">
        <f t="shared" si="18"/>
        <v>2173</v>
      </c>
      <c r="G171" s="36">
        <f t="shared" si="17"/>
        <v>0</v>
      </c>
      <c r="H171" s="37">
        <f t="shared" si="19"/>
        <v>265585.9714074537</v>
      </c>
      <c r="I171" s="33">
        <f t="shared" si="20"/>
        <v>3551563</v>
      </c>
    </row>
    <row r="172" spans="2:9" ht="15.75" customHeight="1" x14ac:dyDescent="0.3">
      <c r="B172" s="38">
        <v>162</v>
      </c>
      <c r="C172" s="39">
        <f t="shared" si="14"/>
        <v>51259</v>
      </c>
      <c r="D172" s="40">
        <f t="shared" si="15"/>
        <v>43391.161668276698</v>
      </c>
      <c r="E172" s="41">
        <f t="shared" si="16"/>
        <v>41510.161668276698</v>
      </c>
      <c r="F172" s="42">
        <f t="shared" si="18"/>
        <v>1881</v>
      </c>
      <c r="G172" s="43">
        <f t="shared" si="17"/>
        <v>0</v>
      </c>
      <c r="H172" s="44">
        <f t="shared" si="19"/>
        <v>224075.809739177</v>
      </c>
      <c r="I172" s="40">
        <f t="shared" si="20"/>
        <v>3553444</v>
      </c>
    </row>
    <row r="173" spans="2:9" ht="15.75" customHeight="1" x14ac:dyDescent="0.3">
      <c r="B173" s="31">
        <v>163</v>
      </c>
      <c r="C173" s="32">
        <f t="shared" si="14"/>
        <v>51290</v>
      </c>
      <c r="D173" s="33">
        <f t="shared" si="15"/>
        <v>43391.161668276698</v>
      </c>
      <c r="E173" s="34">
        <f t="shared" si="16"/>
        <v>41804.161668276698</v>
      </c>
      <c r="F173" s="35">
        <f t="shared" si="18"/>
        <v>1587</v>
      </c>
      <c r="G173" s="36">
        <f t="shared" si="17"/>
        <v>0</v>
      </c>
      <c r="H173" s="37">
        <f t="shared" si="19"/>
        <v>182271.64807090029</v>
      </c>
      <c r="I173" s="33">
        <f t="shared" si="20"/>
        <v>3555031</v>
      </c>
    </row>
    <row r="174" spans="2:9" ht="15.75" customHeight="1" x14ac:dyDescent="0.3">
      <c r="B174" s="38">
        <v>164</v>
      </c>
      <c r="C174" s="39">
        <f t="shared" si="14"/>
        <v>51320</v>
      </c>
      <c r="D174" s="40">
        <f t="shared" si="15"/>
        <v>43391.161668276698</v>
      </c>
      <c r="E174" s="41">
        <f t="shared" si="16"/>
        <v>42100.161668276698</v>
      </c>
      <c r="F174" s="42">
        <f t="shared" si="18"/>
        <v>1291</v>
      </c>
      <c r="G174" s="43">
        <f t="shared" si="17"/>
        <v>0</v>
      </c>
      <c r="H174" s="44">
        <f t="shared" si="19"/>
        <v>140171.48640262359</v>
      </c>
      <c r="I174" s="40">
        <f t="shared" si="20"/>
        <v>3556322</v>
      </c>
    </row>
    <row r="175" spans="2:9" ht="15.75" customHeight="1" x14ac:dyDescent="0.3">
      <c r="B175" s="31">
        <v>165</v>
      </c>
      <c r="C175" s="32">
        <f t="shared" si="14"/>
        <v>51351</v>
      </c>
      <c r="D175" s="33">
        <f t="shared" si="15"/>
        <v>43391.161668276698</v>
      </c>
      <c r="E175" s="34">
        <f t="shared" si="16"/>
        <v>42398.161668276698</v>
      </c>
      <c r="F175" s="35">
        <f t="shared" si="18"/>
        <v>993</v>
      </c>
      <c r="G175" s="36">
        <f t="shared" si="17"/>
        <v>0</v>
      </c>
      <c r="H175" s="37">
        <f t="shared" si="19"/>
        <v>97773.324734346883</v>
      </c>
      <c r="I175" s="33">
        <f t="shared" si="20"/>
        <v>3557315</v>
      </c>
    </row>
    <row r="176" spans="2:9" ht="15.75" customHeight="1" x14ac:dyDescent="0.3">
      <c r="B176" s="38">
        <v>166</v>
      </c>
      <c r="C176" s="39">
        <f t="shared" si="14"/>
        <v>51382</v>
      </c>
      <c r="D176" s="40">
        <f t="shared" si="15"/>
        <v>43391.161668276698</v>
      </c>
      <c r="E176" s="41">
        <f t="shared" si="16"/>
        <v>42698.161668276698</v>
      </c>
      <c r="F176" s="42">
        <f t="shared" si="18"/>
        <v>693</v>
      </c>
      <c r="G176" s="43">
        <f t="shared" si="17"/>
        <v>0</v>
      </c>
      <c r="H176" s="44">
        <f t="shared" si="19"/>
        <v>55075.163066070185</v>
      </c>
      <c r="I176" s="40">
        <f t="shared" si="20"/>
        <v>3558008</v>
      </c>
    </row>
    <row r="177" spans="2:9" ht="15.75" customHeight="1" x14ac:dyDescent="0.3">
      <c r="B177" s="31">
        <v>167</v>
      </c>
      <c r="C177" s="32">
        <f t="shared" si="14"/>
        <v>51412</v>
      </c>
      <c r="D177" s="33">
        <f t="shared" si="15"/>
        <v>43391.161668276698</v>
      </c>
      <c r="E177" s="34">
        <f t="shared" si="16"/>
        <v>43001.161668276698</v>
      </c>
      <c r="F177" s="35">
        <f t="shared" si="18"/>
        <v>390</v>
      </c>
      <c r="G177" s="36">
        <f t="shared" si="17"/>
        <v>0</v>
      </c>
      <c r="H177" s="37">
        <f t="shared" si="19"/>
        <v>12074.001397793487</v>
      </c>
      <c r="I177" s="33">
        <f t="shared" si="20"/>
        <v>3558398</v>
      </c>
    </row>
    <row r="178" spans="2:9" ht="15.75" customHeight="1" x14ac:dyDescent="0.3">
      <c r="B178" s="38">
        <v>168</v>
      </c>
      <c r="C178" s="39">
        <f t="shared" si="14"/>
        <v>51443</v>
      </c>
      <c r="D178" s="40">
        <f t="shared" si="15"/>
        <v>43391.161668276698</v>
      </c>
      <c r="E178" s="41">
        <f t="shared" si="16"/>
        <v>43305.161668276698</v>
      </c>
      <c r="F178" s="42">
        <f t="shared" si="18"/>
        <v>86</v>
      </c>
      <c r="G178" s="43">
        <f t="shared" si="17"/>
        <v>100000</v>
      </c>
      <c r="H178" s="44">
        <f t="shared" si="19"/>
        <v>0</v>
      </c>
      <c r="I178" s="40">
        <f t="shared" si="20"/>
        <v>3558484</v>
      </c>
    </row>
    <row r="179" spans="2:9" ht="15.75" customHeight="1" x14ac:dyDescent="0.3">
      <c r="B179" s="31">
        <v>169</v>
      </c>
      <c r="C179" s="32">
        <f t="shared" si="14"/>
        <v>51473</v>
      </c>
      <c r="D179" s="33">
        <f t="shared" si="15"/>
        <v>0</v>
      </c>
      <c r="E179" s="34">
        <f t="shared" si="16"/>
        <v>0</v>
      </c>
      <c r="F179" s="35">
        <f t="shared" si="18"/>
        <v>0</v>
      </c>
      <c r="G179" s="36">
        <f t="shared" si="17"/>
        <v>0</v>
      </c>
      <c r="H179" s="37">
        <f t="shared" si="19"/>
        <v>0</v>
      </c>
      <c r="I179" s="33">
        <f t="shared" si="20"/>
        <v>3558484</v>
      </c>
    </row>
    <row r="180" spans="2:9" ht="15.75" customHeight="1" x14ac:dyDescent="0.3">
      <c r="B180" s="38">
        <v>170</v>
      </c>
      <c r="C180" s="39">
        <f t="shared" si="14"/>
        <v>51504</v>
      </c>
      <c r="D180" s="40">
        <f t="shared" si="15"/>
        <v>0</v>
      </c>
      <c r="E180" s="41">
        <f t="shared" si="16"/>
        <v>0</v>
      </c>
      <c r="F180" s="42">
        <f t="shared" si="18"/>
        <v>0</v>
      </c>
      <c r="G180" s="43">
        <f t="shared" si="17"/>
        <v>0</v>
      </c>
      <c r="H180" s="44">
        <f t="shared" si="19"/>
        <v>0</v>
      </c>
      <c r="I180" s="40">
        <f t="shared" si="20"/>
        <v>3558484</v>
      </c>
    </row>
    <row r="181" spans="2:9" ht="15.75" customHeight="1" x14ac:dyDescent="0.3">
      <c r="B181" s="31">
        <v>171</v>
      </c>
      <c r="C181" s="32">
        <f t="shared" si="14"/>
        <v>51535</v>
      </c>
      <c r="D181" s="33">
        <f t="shared" si="15"/>
        <v>0</v>
      </c>
      <c r="E181" s="34">
        <f t="shared" si="16"/>
        <v>0</v>
      </c>
      <c r="F181" s="35">
        <f t="shared" si="18"/>
        <v>0</v>
      </c>
      <c r="G181" s="36">
        <f t="shared" si="17"/>
        <v>0</v>
      </c>
      <c r="H181" s="37">
        <f t="shared" si="19"/>
        <v>0</v>
      </c>
      <c r="I181" s="33">
        <f t="shared" si="20"/>
        <v>3558484</v>
      </c>
    </row>
    <row r="182" spans="2:9" ht="15.75" customHeight="1" x14ac:dyDescent="0.3">
      <c r="B182" s="38">
        <v>172</v>
      </c>
      <c r="C182" s="39">
        <f t="shared" si="14"/>
        <v>51563</v>
      </c>
      <c r="D182" s="40">
        <f t="shared" si="15"/>
        <v>0</v>
      </c>
      <c r="E182" s="41">
        <f t="shared" si="16"/>
        <v>0</v>
      </c>
      <c r="F182" s="42">
        <f t="shared" si="18"/>
        <v>0</v>
      </c>
      <c r="G182" s="43">
        <f t="shared" si="17"/>
        <v>0</v>
      </c>
      <c r="H182" s="44">
        <f t="shared" si="19"/>
        <v>0</v>
      </c>
      <c r="I182" s="40">
        <f t="shared" si="20"/>
        <v>3558484</v>
      </c>
    </row>
    <row r="183" spans="2:9" ht="15.75" customHeight="1" x14ac:dyDescent="0.3">
      <c r="B183" s="31">
        <v>173</v>
      </c>
      <c r="C183" s="32">
        <f t="shared" si="14"/>
        <v>51594</v>
      </c>
      <c r="D183" s="33">
        <f t="shared" si="15"/>
        <v>0</v>
      </c>
      <c r="E183" s="34">
        <f t="shared" si="16"/>
        <v>0</v>
      </c>
      <c r="F183" s="35">
        <f t="shared" si="18"/>
        <v>0</v>
      </c>
      <c r="G183" s="36">
        <f t="shared" si="17"/>
        <v>0</v>
      </c>
      <c r="H183" s="37">
        <f t="shared" si="19"/>
        <v>0</v>
      </c>
      <c r="I183" s="33">
        <f t="shared" si="20"/>
        <v>3558484</v>
      </c>
    </row>
    <row r="184" spans="2:9" ht="15.75" customHeight="1" x14ac:dyDescent="0.3">
      <c r="B184" s="38">
        <v>174</v>
      </c>
      <c r="C184" s="39">
        <f t="shared" si="14"/>
        <v>51624</v>
      </c>
      <c r="D184" s="40">
        <f t="shared" si="15"/>
        <v>0</v>
      </c>
      <c r="E184" s="41">
        <f t="shared" si="16"/>
        <v>0</v>
      </c>
      <c r="F184" s="42">
        <f t="shared" si="18"/>
        <v>0</v>
      </c>
      <c r="G184" s="43">
        <f t="shared" si="17"/>
        <v>0</v>
      </c>
      <c r="H184" s="44">
        <f t="shared" si="19"/>
        <v>0</v>
      </c>
      <c r="I184" s="40">
        <f t="shared" si="20"/>
        <v>3558484</v>
      </c>
    </row>
    <row r="185" spans="2:9" ht="15.75" customHeight="1" x14ac:dyDescent="0.3">
      <c r="B185" s="31">
        <v>175</v>
      </c>
      <c r="C185" s="32">
        <f t="shared" si="14"/>
        <v>51655</v>
      </c>
      <c r="D185" s="33">
        <f t="shared" si="15"/>
        <v>0</v>
      </c>
      <c r="E185" s="34">
        <f t="shared" si="16"/>
        <v>0</v>
      </c>
      <c r="F185" s="35">
        <f t="shared" si="18"/>
        <v>0</v>
      </c>
      <c r="G185" s="36">
        <f t="shared" si="17"/>
        <v>0</v>
      </c>
      <c r="H185" s="37">
        <f t="shared" si="19"/>
        <v>0</v>
      </c>
      <c r="I185" s="33">
        <f t="shared" si="20"/>
        <v>3558484</v>
      </c>
    </row>
    <row r="186" spans="2:9" ht="15.75" customHeight="1" x14ac:dyDescent="0.3">
      <c r="B186" s="38">
        <v>176</v>
      </c>
      <c r="C186" s="39">
        <f t="shared" si="14"/>
        <v>51685</v>
      </c>
      <c r="D186" s="40">
        <f t="shared" si="15"/>
        <v>0</v>
      </c>
      <c r="E186" s="41">
        <f t="shared" si="16"/>
        <v>0</v>
      </c>
      <c r="F186" s="42">
        <f t="shared" si="18"/>
        <v>0</v>
      </c>
      <c r="G186" s="43">
        <f t="shared" si="17"/>
        <v>0</v>
      </c>
      <c r="H186" s="44">
        <f t="shared" si="19"/>
        <v>0</v>
      </c>
      <c r="I186" s="40">
        <f t="shared" si="20"/>
        <v>3558484</v>
      </c>
    </row>
    <row r="187" spans="2:9" ht="15.75" customHeight="1" x14ac:dyDescent="0.3">
      <c r="B187" s="31">
        <v>177</v>
      </c>
      <c r="C187" s="32">
        <f t="shared" si="14"/>
        <v>51716</v>
      </c>
      <c r="D187" s="33">
        <f t="shared" si="15"/>
        <v>0</v>
      </c>
      <c r="E187" s="34">
        <f t="shared" si="16"/>
        <v>0</v>
      </c>
      <c r="F187" s="35">
        <f t="shared" si="18"/>
        <v>0</v>
      </c>
      <c r="G187" s="36">
        <f t="shared" si="17"/>
        <v>0</v>
      </c>
      <c r="H187" s="37">
        <f t="shared" si="19"/>
        <v>0</v>
      </c>
      <c r="I187" s="33">
        <f t="shared" si="20"/>
        <v>3558484</v>
      </c>
    </row>
    <row r="188" spans="2:9" ht="15.75" customHeight="1" x14ac:dyDescent="0.3">
      <c r="B188" s="38">
        <v>178</v>
      </c>
      <c r="C188" s="39">
        <f t="shared" si="14"/>
        <v>51747</v>
      </c>
      <c r="D188" s="40">
        <f t="shared" si="15"/>
        <v>0</v>
      </c>
      <c r="E188" s="41">
        <f t="shared" si="16"/>
        <v>0</v>
      </c>
      <c r="F188" s="42">
        <f t="shared" si="18"/>
        <v>0</v>
      </c>
      <c r="G188" s="43">
        <f t="shared" si="17"/>
        <v>0</v>
      </c>
      <c r="H188" s="44">
        <f t="shared" si="19"/>
        <v>0</v>
      </c>
      <c r="I188" s="40">
        <f t="shared" si="20"/>
        <v>3558484</v>
      </c>
    </row>
    <row r="189" spans="2:9" ht="15.75" customHeight="1" x14ac:dyDescent="0.3">
      <c r="B189" s="31">
        <v>179</v>
      </c>
      <c r="C189" s="32">
        <f t="shared" si="14"/>
        <v>51777</v>
      </c>
      <c r="D189" s="33">
        <f t="shared" si="15"/>
        <v>0</v>
      </c>
      <c r="E189" s="34">
        <f t="shared" si="16"/>
        <v>0</v>
      </c>
      <c r="F189" s="35">
        <f t="shared" si="18"/>
        <v>0</v>
      </c>
      <c r="G189" s="36">
        <f t="shared" si="17"/>
        <v>0</v>
      </c>
      <c r="H189" s="37">
        <f t="shared" si="19"/>
        <v>0</v>
      </c>
      <c r="I189" s="33">
        <f t="shared" si="20"/>
        <v>3558484</v>
      </c>
    </row>
    <row r="190" spans="2:9" ht="15.75" customHeight="1" x14ac:dyDescent="0.3">
      <c r="B190" s="38">
        <v>180</v>
      </c>
      <c r="C190" s="39">
        <f t="shared" si="14"/>
        <v>51808</v>
      </c>
      <c r="D190" s="40">
        <f t="shared" si="15"/>
        <v>0</v>
      </c>
      <c r="E190" s="41">
        <f t="shared" si="16"/>
        <v>0</v>
      </c>
      <c r="F190" s="42">
        <f t="shared" si="18"/>
        <v>0</v>
      </c>
      <c r="G190" s="43">
        <f t="shared" si="17"/>
        <v>0</v>
      </c>
      <c r="H190" s="44">
        <f t="shared" si="19"/>
        <v>0</v>
      </c>
      <c r="I190" s="40">
        <f t="shared" si="20"/>
        <v>3558484</v>
      </c>
    </row>
    <row r="191" spans="2:9" ht="15.75" customHeight="1" x14ac:dyDescent="0.3">
      <c r="B191" s="31">
        <v>181</v>
      </c>
      <c r="C191" s="32">
        <f t="shared" si="14"/>
        <v>51838</v>
      </c>
      <c r="D191" s="33">
        <f t="shared" si="15"/>
        <v>0</v>
      </c>
      <c r="E191" s="34">
        <f t="shared" si="16"/>
        <v>0</v>
      </c>
      <c r="F191" s="35">
        <f t="shared" si="18"/>
        <v>0</v>
      </c>
      <c r="G191" s="36">
        <f t="shared" si="17"/>
        <v>0</v>
      </c>
      <c r="H191" s="37">
        <f t="shared" si="19"/>
        <v>0</v>
      </c>
      <c r="I191" s="33">
        <f t="shared" si="20"/>
        <v>3558484</v>
      </c>
    </row>
    <row r="192" spans="2:9" ht="15.75" customHeight="1" x14ac:dyDescent="0.3">
      <c r="B192" s="38">
        <v>182</v>
      </c>
      <c r="C192" s="39">
        <f t="shared" si="14"/>
        <v>51869</v>
      </c>
      <c r="D192" s="40">
        <f t="shared" si="15"/>
        <v>0</v>
      </c>
      <c r="E192" s="41">
        <f t="shared" si="16"/>
        <v>0</v>
      </c>
      <c r="F192" s="42">
        <f t="shared" si="18"/>
        <v>0</v>
      </c>
      <c r="G192" s="43">
        <f t="shared" si="17"/>
        <v>0</v>
      </c>
      <c r="H192" s="44">
        <f t="shared" si="19"/>
        <v>0</v>
      </c>
      <c r="I192" s="40">
        <f t="shared" si="20"/>
        <v>3558484</v>
      </c>
    </row>
    <row r="193" spans="2:9" ht="15.75" customHeight="1" x14ac:dyDescent="0.3">
      <c r="B193" s="31">
        <v>183</v>
      </c>
      <c r="C193" s="32">
        <f t="shared" si="14"/>
        <v>51900</v>
      </c>
      <c r="D193" s="33">
        <f t="shared" si="15"/>
        <v>0</v>
      </c>
      <c r="E193" s="34">
        <f t="shared" si="16"/>
        <v>0</v>
      </c>
      <c r="F193" s="35">
        <f t="shared" si="18"/>
        <v>0</v>
      </c>
      <c r="G193" s="36">
        <f t="shared" si="17"/>
        <v>0</v>
      </c>
      <c r="H193" s="37">
        <f t="shared" si="19"/>
        <v>0</v>
      </c>
      <c r="I193" s="33">
        <f t="shared" si="20"/>
        <v>3558484</v>
      </c>
    </row>
    <row r="194" spans="2:9" ht="15.75" customHeight="1" x14ac:dyDescent="0.3">
      <c r="B194" s="38">
        <v>184</v>
      </c>
      <c r="C194" s="39">
        <f t="shared" si="14"/>
        <v>51928</v>
      </c>
      <c r="D194" s="40">
        <f t="shared" si="15"/>
        <v>0</v>
      </c>
      <c r="E194" s="41">
        <f t="shared" si="16"/>
        <v>0</v>
      </c>
      <c r="F194" s="42">
        <f t="shared" si="18"/>
        <v>0</v>
      </c>
      <c r="G194" s="43">
        <f t="shared" si="17"/>
        <v>0</v>
      </c>
      <c r="H194" s="44">
        <f t="shared" si="19"/>
        <v>0</v>
      </c>
      <c r="I194" s="40">
        <f t="shared" si="20"/>
        <v>3558484</v>
      </c>
    </row>
    <row r="195" spans="2:9" ht="15.75" customHeight="1" x14ac:dyDescent="0.3">
      <c r="B195" s="31">
        <v>185</v>
      </c>
      <c r="C195" s="32">
        <f t="shared" si="14"/>
        <v>51959</v>
      </c>
      <c r="D195" s="33">
        <f t="shared" si="15"/>
        <v>0</v>
      </c>
      <c r="E195" s="34">
        <f t="shared" si="16"/>
        <v>0</v>
      </c>
      <c r="F195" s="35">
        <f t="shared" si="18"/>
        <v>0</v>
      </c>
      <c r="G195" s="36">
        <f t="shared" si="17"/>
        <v>0</v>
      </c>
      <c r="H195" s="37">
        <f t="shared" si="19"/>
        <v>0</v>
      </c>
      <c r="I195" s="33">
        <f t="shared" si="20"/>
        <v>3558484</v>
      </c>
    </row>
    <row r="196" spans="2:9" ht="15.75" customHeight="1" x14ac:dyDescent="0.3">
      <c r="B196" s="38">
        <v>186</v>
      </c>
      <c r="C196" s="39">
        <f t="shared" si="14"/>
        <v>51989</v>
      </c>
      <c r="D196" s="40">
        <f t="shared" si="15"/>
        <v>0</v>
      </c>
      <c r="E196" s="41">
        <f t="shared" si="16"/>
        <v>0</v>
      </c>
      <c r="F196" s="42">
        <f t="shared" si="18"/>
        <v>0</v>
      </c>
      <c r="G196" s="43">
        <f t="shared" si="17"/>
        <v>0</v>
      </c>
      <c r="H196" s="44">
        <f t="shared" si="19"/>
        <v>0</v>
      </c>
      <c r="I196" s="40">
        <f t="shared" si="20"/>
        <v>3558484</v>
      </c>
    </row>
    <row r="197" spans="2:9" ht="15.75" customHeight="1" x14ac:dyDescent="0.3">
      <c r="B197" s="31">
        <v>187</v>
      </c>
      <c r="C197" s="32">
        <f t="shared" si="14"/>
        <v>52020</v>
      </c>
      <c r="D197" s="33">
        <f t="shared" si="15"/>
        <v>0</v>
      </c>
      <c r="E197" s="34">
        <f t="shared" si="16"/>
        <v>0</v>
      </c>
      <c r="F197" s="35">
        <f t="shared" si="18"/>
        <v>0</v>
      </c>
      <c r="G197" s="36">
        <f t="shared" si="17"/>
        <v>0</v>
      </c>
      <c r="H197" s="37">
        <f t="shared" si="19"/>
        <v>0</v>
      </c>
      <c r="I197" s="33">
        <f t="shared" si="20"/>
        <v>3558484</v>
      </c>
    </row>
    <row r="198" spans="2:9" ht="15.75" customHeight="1" x14ac:dyDescent="0.3">
      <c r="B198" s="38">
        <v>188</v>
      </c>
      <c r="C198" s="39">
        <f t="shared" si="14"/>
        <v>52050</v>
      </c>
      <c r="D198" s="40">
        <f t="shared" si="15"/>
        <v>0</v>
      </c>
      <c r="E198" s="41">
        <f t="shared" si="16"/>
        <v>0</v>
      </c>
      <c r="F198" s="42">
        <f t="shared" si="18"/>
        <v>0</v>
      </c>
      <c r="G198" s="43">
        <f t="shared" si="17"/>
        <v>0</v>
      </c>
      <c r="H198" s="44">
        <f t="shared" si="19"/>
        <v>0</v>
      </c>
      <c r="I198" s="40">
        <f t="shared" si="20"/>
        <v>3558484</v>
      </c>
    </row>
    <row r="199" spans="2:9" ht="15.75" customHeight="1" x14ac:dyDescent="0.3">
      <c r="B199" s="31">
        <v>189</v>
      </c>
      <c r="C199" s="32">
        <f t="shared" si="14"/>
        <v>52081</v>
      </c>
      <c r="D199" s="33">
        <f t="shared" si="15"/>
        <v>0</v>
      </c>
      <c r="E199" s="34">
        <f t="shared" si="16"/>
        <v>0</v>
      </c>
      <c r="F199" s="35">
        <f t="shared" si="18"/>
        <v>0</v>
      </c>
      <c r="G199" s="36">
        <f t="shared" si="17"/>
        <v>0</v>
      </c>
      <c r="H199" s="37">
        <f t="shared" si="19"/>
        <v>0</v>
      </c>
      <c r="I199" s="33">
        <f t="shared" si="20"/>
        <v>3558484</v>
      </c>
    </row>
    <row r="200" spans="2:9" ht="15.75" customHeight="1" x14ac:dyDescent="0.3">
      <c r="B200" s="38">
        <v>190</v>
      </c>
      <c r="C200" s="39">
        <f t="shared" si="14"/>
        <v>52112</v>
      </c>
      <c r="D200" s="40">
        <f t="shared" si="15"/>
        <v>0</v>
      </c>
      <c r="E200" s="41">
        <f t="shared" si="16"/>
        <v>0</v>
      </c>
      <c r="F200" s="42">
        <f t="shared" si="18"/>
        <v>0</v>
      </c>
      <c r="G200" s="43">
        <f t="shared" si="17"/>
        <v>0</v>
      </c>
      <c r="H200" s="44">
        <f t="shared" si="19"/>
        <v>0</v>
      </c>
      <c r="I200" s="40">
        <f t="shared" si="20"/>
        <v>3558484</v>
      </c>
    </row>
    <row r="201" spans="2:9" ht="15.75" customHeight="1" x14ac:dyDescent="0.3">
      <c r="B201" s="31">
        <v>191</v>
      </c>
      <c r="C201" s="32">
        <f t="shared" si="14"/>
        <v>52142</v>
      </c>
      <c r="D201" s="33">
        <f t="shared" si="15"/>
        <v>0</v>
      </c>
      <c r="E201" s="34">
        <f t="shared" si="16"/>
        <v>0</v>
      </c>
      <c r="F201" s="35">
        <f t="shared" si="18"/>
        <v>0</v>
      </c>
      <c r="G201" s="36">
        <f t="shared" si="17"/>
        <v>0</v>
      </c>
      <c r="H201" s="37">
        <f t="shared" si="19"/>
        <v>0</v>
      </c>
      <c r="I201" s="33">
        <f t="shared" si="20"/>
        <v>3558484</v>
      </c>
    </row>
    <row r="202" spans="2:9" ht="15.75" customHeight="1" x14ac:dyDescent="0.3">
      <c r="B202" s="38">
        <v>192</v>
      </c>
      <c r="C202" s="39">
        <f t="shared" si="14"/>
        <v>52173</v>
      </c>
      <c r="D202" s="40">
        <f t="shared" si="15"/>
        <v>0</v>
      </c>
      <c r="E202" s="41">
        <f t="shared" si="16"/>
        <v>0</v>
      </c>
      <c r="F202" s="42">
        <f t="shared" si="18"/>
        <v>0</v>
      </c>
      <c r="G202" s="43">
        <f t="shared" si="17"/>
        <v>0</v>
      </c>
      <c r="H202" s="44">
        <f t="shared" si="19"/>
        <v>0</v>
      </c>
      <c r="I202" s="40">
        <f t="shared" si="20"/>
        <v>3558484</v>
      </c>
    </row>
    <row r="203" spans="2:9" ht="15.75" customHeight="1" x14ac:dyDescent="0.3">
      <c r="B203" s="31">
        <v>193</v>
      </c>
      <c r="C203" s="32">
        <f t="shared" ref="C203:C266" si="21">IFERROR(EDATE($C$7,B203),"")</f>
        <v>52203</v>
      </c>
      <c r="D203" s="33">
        <f t="shared" ref="D203:D251" si="22">IFERROR(IF(H202&gt;0,$F$6,0),0)</f>
        <v>0</v>
      </c>
      <c r="E203" s="34">
        <f t="shared" ref="E203:E266" si="23">IFERROR(D203-F203,0)</f>
        <v>0</v>
      </c>
      <c r="F203" s="35">
        <f t="shared" si="18"/>
        <v>0</v>
      </c>
      <c r="G203" s="36">
        <f t="shared" ref="G203:G251" si="24">IFERROR(IF(H202&lt;=0,0,IF($C$8="Monthly",$F$7,IF(AND($C$8="Yearly",MOD(B203,12)=0),$F$7,IF(AND($C$8="One-time",B203=1),$F$7,0)))),0)</f>
        <v>0</v>
      </c>
      <c r="H203" s="37">
        <f t="shared" si="19"/>
        <v>0</v>
      </c>
      <c r="I203" s="33">
        <f t="shared" si="20"/>
        <v>3558484</v>
      </c>
    </row>
    <row r="204" spans="2:9" ht="15.75" customHeight="1" x14ac:dyDescent="0.3">
      <c r="B204" s="38">
        <v>194</v>
      </c>
      <c r="C204" s="39">
        <f t="shared" si="21"/>
        <v>52234</v>
      </c>
      <c r="D204" s="40">
        <f t="shared" si="22"/>
        <v>0</v>
      </c>
      <c r="E204" s="41">
        <f t="shared" si="23"/>
        <v>0</v>
      </c>
      <c r="F204" s="42">
        <f t="shared" ref="F204:F251" si="25">IFERROR(IF(H203&gt;0,ROUND(H203*$F$5/12,0),0),0)</f>
        <v>0</v>
      </c>
      <c r="G204" s="43">
        <f t="shared" si="24"/>
        <v>0</v>
      </c>
      <c r="H204" s="44">
        <f t="shared" ref="H204:H267" si="26">IFERROR(MAX(H203-E204-G204,0),0)</f>
        <v>0</v>
      </c>
      <c r="I204" s="40">
        <f t="shared" ref="I204:I251" si="27">I203+F204</f>
        <v>3558484</v>
      </c>
    </row>
    <row r="205" spans="2:9" ht="15.75" customHeight="1" x14ac:dyDescent="0.3">
      <c r="B205" s="31">
        <v>195</v>
      </c>
      <c r="C205" s="32">
        <f t="shared" si="21"/>
        <v>52265</v>
      </c>
      <c r="D205" s="33">
        <f t="shared" si="22"/>
        <v>0</v>
      </c>
      <c r="E205" s="34">
        <f t="shared" si="23"/>
        <v>0</v>
      </c>
      <c r="F205" s="35">
        <f t="shared" si="25"/>
        <v>0</v>
      </c>
      <c r="G205" s="36">
        <f t="shared" si="24"/>
        <v>0</v>
      </c>
      <c r="H205" s="37">
        <f t="shared" si="26"/>
        <v>0</v>
      </c>
      <c r="I205" s="33">
        <f t="shared" si="27"/>
        <v>3558484</v>
      </c>
    </row>
    <row r="206" spans="2:9" ht="15.75" customHeight="1" x14ac:dyDescent="0.3">
      <c r="B206" s="38">
        <v>196</v>
      </c>
      <c r="C206" s="39">
        <f t="shared" si="21"/>
        <v>52293</v>
      </c>
      <c r="D206" s="40">
        <f t="shared" si="22"/>
        <v>0</v>
      </c>
      <c r="E206" s="41">
        <f t="shared" si="23"/>
        <v>0</v>
      </c>
      <c r="F206" s="42">
        <f t="shared" si="25"/>
        <v>0</v>
      </c>
      <c r="G206" s="43">
        <f t="shared" si="24"/>
        <v>0</v>
      </c>
      <c r="H206" s="44">
        <f t="shared" si="26"/>
        <v>0</v>
      </c>
      <c r="I206" s="40">
        <f t="shared" si="27"/>
        <v>3558484</v>
      </c>
    </row>
    <row r="207" spans="2:9" ht="15.75" customHeight="1" x14ac:dyDescent="0.3">
      <c r="B207" s="31">
        <v>197</v>
      </c>
      <c r="C207" s="32">
        <f t="shared" si="21"/>
        <v>52324</v>
      </c>
      <c r="D207" s="33">
        <f t="shared" si="22"/>
        <v>0</v>
      </c>
      <c r="E207" s="34">
        <f t="shared" si="23"/>
        <v>0</v>
      </c>
      <c r="F207" s="35">
        <f t="shared" si="25"/>
        <v>0</v>
      </c>
      <c r="G207" s="36">
        <f t="shared" si="24"/>
        <v>0</v>
      </c>
      <c r="H207" s="37">
        <f t="shared" si="26"/>
        <v>0</v>
      </c>
      <c r="I207" s="33">
        <f t="shared" si="27"/>
        <v>3558484</v>
      </c>
    </row>
    <row r="208" spans="2:9" ht="15.75" customHeight="1" x14ac:dyDescent="0.3">
      <c r="B208" s="38">
        <v>198</v>
      </c>
      <c r="C208" s="39">
        <f t="shared" si="21"/>
        <v>52354</v>
      </c>
      <c r="D208" s="40">
        <f t="shared" si="22"/>
        <v>0</v>
      </c>
      <c r="E208" s="41">
        <f t="shared" si="23"/>
        <v>0</v>
      </c>
      <c r="F208" s="42">
        <f t="shared" si="25"/>
        <v>0</v>
      </c>
      <c r="G208" s="43">
        <f t="shared" si="24"/>
        <v>0</v>
      </c>
      <c r="H208" s="44">
        <f t="shared" si="26"/>
        <v>0</v>
      </c>
      <c r="I208" s="40">
        <f t="shared" si="27"/>
        <v>3558484</v>
      </c>
    </row>
    <row r="209" spans="2:9" ht="15.75" customHeight="1" x14ac:dyDescent="0.3">
      <c r="B209" s="31">
        <v>199</v>
      </c>
      <c r="C209" s="32">
        <f t="shared" si="21"/>
        <v>52385</v>
      </c>
      <c r="D209" s="33">
        <f t="shared" si="22"/>
        <v>0</v>
      </c>
      <c r="E209" s="34">
        <f t="shared" si="23"/>
        <v>0</v>
      </c>
      <c r="F209" s="35">
        <f t="shared" si="25"/>
        <v>0</v>
      </c>
      <c r="G209" s="36">
        <f t="shared" si="24"/>
        <v>0</v>
      </c>
      <c r="H209" s="37">
        <f t="shared" si="26"/>
        <v>0</v>
      </c>
      <c r="I209" s="33">
        <f t="shared" si="27"/>
        <v>3558484</v>
      </c>
    </row>
    <row r="210" spans="2:9" ht="15.75" customHeight="1" x14ac:dyDescent="0.3">
      <c r="B210" s="38">
        <v>200</v>
      </c>
      <c r="C210" s="39">
        <f t="shared" si="21"/>
        <v>52415</v>
      </c>
      <c r="D210" s="40">
        <f t="shared" si="22"/>
        <v>0</v>
      </c>
      <c r="E210" s="41">
        <f t="shared" si="23"/>
        <v>0</v>
      </c>
      <c r="F210" s="42">
        <f t="shared" si="25"/>
        <v>0</v>
      </c>
      <c r="G210" s="43">
        <f t="shared" si="24"/>
        <v>0</v>
      </c>
      <c r="H210" s="44">
        <f t="shared" si="26"/>
        <v>0</v>
      </c>
      <c r="I210" s="40">
        <f t="shared" si="27"/>
        <v>3558484</v>
      </c>
    </row>
    <row r="211" spans="2:9" ht="15.75" customHeight="1" x14ac:dyDescent="0.3">
      <c r="B211" s="31">
        <v>201</v>
      </c>
      <c r="C211" s="32">
        <f t="shared" si="21"/>
        <v>52446</v>
      </c>
      <c r="D211" s="33">
        <f t="shared" si="22"/>
        <v>0</v>
      </c>
      <c r="E211" s="34">
        <f t="shared" si="23"/>
        <v>0</v>
      </c>
      <c r="F211" s="35">
        <f t="shared" si="25"/>
        <v>0</v>
      </c>
      <c r="G211" s="36">
        <f t="shared" si="24"/>
        <v>0</v>
      </c>
      <c r="H211" s="37">
        <f t="shared" si="26"/>
        <v>0</v>
      </c>
      <c r="I211" s="33">
        <f t="shared" si="27"/>
        <v>3558484</v>
      </c>
    </row>
    <row r="212" spans="2:9" ht="15.75" customHeight="1" x14ac:dyDescent="0.3">
      <c r="B212" s="38">
        <v>202</v>
      </c>
      <c r="C212" s="39">
        <f t="shared" si="21"/>
        <v>52477</v>
      </c>
      <c r="D212" s="40">
        <f t="shared" si="22"/>
        <v>0</v>
      </c>
      <c r="E212" s="41">
        <f t="shared" si="23"/>
        <v>0</v>
      </c>
      <c r="F212" s="42">
        <f t="shared" si="25"/>
        <v>0</v>
      </c>
      <c r="G212" s="43">
        <f t="shared" si="24"/>
        <v>0</v>
      </c>
      <c r="H212" s="44">
        <f t="shared" si="26"/>
        <v>0</v>
      </c>
      <c r="I212" s="40">
        <f t="shared" si="27"/>
        <v>3558484</v>
      </c>
    </row>
    <row r="213" spans="2:9" ht="15.75" customHeight="1" x14ac:dyDescent="0.3">
      <c r="B213" s="31">
        <v>203</v>
      </c>
      <c r="C213" s="32">
        <f t="shared" si="21"/>
        <v>52507</v>
      </c>
      <c r="D213" s="33">
        <f t="shared" si="22"/>
        <v>0</v>
      </c>
      <c r="E213" s="34">
        <f t="shared" si="23"/>
        <v>0</v>
      </c>
      <c r="F213" s="35">
        <f t="shared" si="25"/>
        <v>0</v>
      </c>
      <c r="G213" s="36">
        <f t="shared" si="24"/>
        <v>0</v>
      </c>
      <c r="H213" s="37">
        <f t="shared" si="26"/>
        <v>0</v>
      </c>
      <c r="I213" s="33">
        <f t="shared" si="27"/>
        <v>3558484</v>
      </c>
    </row>
    <row r="214" spans="2:9" ht="15.75" customHeight="1" x14ac:dyDescent="0.3">
      <c r="B214" s="38">
        <v>204</v>
      </c>
      <c r="C214" s="39">
        <f t="shared" si="21"/>
        <v>52538</v>
      </c>
      <c r="D214" s="40">
        <f t="shared" si="22"/>
        <v>0</v>
      </c>
      <c r="E214" s="41">
        <f t="shared" si="23"/>
        <v>0</v>
      </c>
      <c r="F214" s="42">
        <f t="shared" si="25"/>
        <v>0</v>
      </c>
      <c r="G214" s="43">
        <f t="shared" si="24"/>
        <v>0</v>
      </c>
      <c r="H214" s="44">
        <f t="shared" si="26"/>
        <v>0</v>
      </c>
      <c r="I214" s="40">
        <f t="shared" si="27"/>
        <v>3558484</v>
      </c>
    </row>
    <row r="215" spans="2:9" ht="15.75" customHeight="1" x14ac:dyDescent="0.3">
      <c r="B215" s="31">
        <v>205</v>
      </c>
      <c r="C215" s="32">
        <f t="shared" si="21"/>
        <v>52568</v>
      </c>
      <c r="D215" s="33">
        <f t="shared" si="22"/>
        <v>0</v>
      </c>
      <c r="E215" s="34">
        <f t="shared" si="23"/>
        <v>0</v>
      </c>
      <c r="F215" s="35">
        <f t="shared" si="25"/>
        <v>0</v>
      </c>
      <c r="G215" s="36">
        <f t="shared" si="24"/>
        <v>0</v>
      </c>
      <c r="H215" s="37">
        <f t="shared" si="26"/>
        <v>0</v>
      </c>
      <c r="I215" s="33">
        <f t="shared" si="27"/>
        <v>3558484</v>
      </c>
    </row>
    <row r="216" spans="2:9" ht="15.75" customHeight="1" x14ac:dyDescent="0.3">
      <c r="B216" s="38">
        <v>206</v>
      </c>
      <c r="C216" s="39">
        <f t="shared" si="21"/>
        <v>52599</v>
      </c>
      <c r="D216" s="40">
        <f t="shared" si="22"/>
        <v>0</v>
      </c>
      <c r="E216" s="41">
        <f t="shared" si="23"/>
        <v>0</v>
      </c>
      <c r="F216" s="42">
        <f t="shared" si="25"/>
        <v>0</v>
      </c>
      <c r="G216" s="43">
        <f t="shared" si="24"/>
        <v>0</v>
      </c>
      <c r="H216" s="44">
        <f t="shared" si="26"/>
        <v>0</v>
      </c>
      <c r="I216" s="40">
        <f t="shared" si="27"/>
        <v>3558484</v>
      </c>
    </row>
    <row r="217" spans="2:9" ht="15.75" customHeight="1" x14ac:dyDescent="0.3">
      <c r="B217" s="31">
        <v>207</v>
      </c>
      <c r="C217" s="32">
        <f t="shared" si="21"/>
        <v>52630</v>
      </c>
      <c r="D217" s="33">
        <f t="shared" si="22"/>
        <v>0</v>
      </c>
      <c r="E217" s="34">
        <f t="shared" si="23"/>
        <v>0</v>
      </c>
      <c r="F217" s="35">
        <f t="shared" si="25"/>
        <v>0</v>
      </c>
      <c r="G217" s="36">
        <f t="shared" si="24"/>
        <v>0</v>
      </c>
      <c r="H217" s="37">
        <f t="shared" si="26"/>
        <v>0</v>
      </c>
      <c r="I217" s="33">
        <f t="shared" si="27"/>
        <v>3558484</v>
      </c>
    </row>
    <row r="218" spans="2:9" ht="15.75" customHeight="1" x14ac:dyDescent="0.3">
      <c r="B218" s="38">
        <v>208</v>
      </c>
      <c r="C218" s="39">
        <f t="shared" si="21"/>
        <v>52659</v>
      </c>
      <c r="D218" s="40">
        <f t="shared" si="22"/>
        <v>0</v>
      </c>
      <c r="E218" s="41">
        <f t="shared" si="23"/>
        <v>0</v>
      </c>
      <c r="F218" s="42">
        <f t="shared" si="25"/>
        <v>0</v>
      </c>
      <c r="G218" s="43">
        <f t="shared" si="24"/>
        <v>0</v>
      </c>
      <c r="H218" s="44">
        <f t="shared" si="26"/>
        <v>0</v>
      </c>
      <c r="I218" s="40">
        <f t="shared" si="27"/>
        <v>3558484</v>
      </c>
    </row>
    <row r="219" spans="2:9" ht="15.75" customHeight="1" x14ac:dyDescent="0.3">
      <c r="B219" s="31">
        <v>209</v>
      </c>
      <c r="C219" s="32">
        <f t="shared" si="21"/>
        <v>52690</v>
      </c>
      <c r="D219" s="33">
        <f t="shared" si="22"/>
        <v>0</v>
      </c>
      <c r="E219" s="34">
        <f t="shared" si="23"/>
        <v>0</v>
      </c>
      <c r="F219" s="35">
        <f t="shared" si="25"/>
        <v>0</v>
      </c>
      <c r="G219" s="36">
        <f t="shared" si="24"/>
        <v>0</v>
      </c>
      <c r="H219" s="37">
        <f t="shared" si="26"/>
        <v>0</v>
      </c>
      <c r="I219" s="33">
        <f t="shared" si="27"/>
        <v>3558484</v>
      </c>
    </row>
    <row r="220" spans="2:9" ht="15.75" customHeight="1" x14ac:dyDescent="0.3">
      <c r="B220" s="38">
        <v>210</v>
      </c>
      <c r="C220" s="39">
        <f t="shared" si="21"/>
        <v>52720</v>
      </c>
      <c r="D220" s="40">
        <f t="shared" si="22"/>
        <v>0</v>
      </c>
      <c r="E220" s="41">
        <f t="shared" si="23"/>
        <v>0</v>
      </c>
      <c r="F220" s="42">
        <f t="shared" si="25"/>
        <v>0</v>
      </c>
      <c r="G220" s="43">
        <f t="shared" si="24"/>
        <v>0</v>
      </c>
      <c r="H220" s="44">
        <f t="shared" si="26"/>
        <v>0</v>
      </c>
      <c r="I220" s="40">
        <f t="shared" si="27"/>
        <v>3558484</v>
      </c>
    </row>
    <row r="221" spans="2:9" ht="15.75" customHeight="1" x14ac:dyDescent="0.3">
      <c r="B221" s="31">
        <v>211</v>
      </c>
      <c r="C221" s="32">
        <f t="shared" si="21"/>
        <v>52751</v>
      </c>
      <c r="D221" s="33">
        <f t="shared" si="22"/>
        <v>0</v>
      </c>
      <c r="E221" s="34">
        <f t="shared" si="23"/>
        <v>0</v>
      </c>
      <c r="F221" s="35">
        <f t="shared" si="25"/>
        <v>0</v>
      </c>
      <c r="G221" s="36">
        <f t="shared" si="24"/>
        <v>0</v>
      </c>
      <c r="H221" s="37">
        <f t="shared" si="26"/>
        <v>0</v>
      </c>
      <c r="I221" s="33">
        <f t="shared" si="27"/>
        <v>3558484</v>
      </c>
    </row>
    <row r="222" spans="2:9" ht="15.75" customHeight="1" x14ac:dyDescent="0.3">
      <c r="B222" s="38">
        <v>212</v>
      </c>
      <c r="C222" s="39">
        <f t="shared" si="21"/>
        <v>52781</v>
      </c>
      <c r="D222" s="40">
        <f t="shared" si="22"/>
        <v>0</v>
      </c>
      <c r="E222" s="41">
        <f t="shared" si="23"/>
        <v>0</v>
      </c>
      <c r="F222" s="42">
        <f t="shared" si="25"/>
        <v>0</v>
      </c>
      <c r="G222" s="43">
        <f t="shared" si="24"/>
        <v>0</v>
      </c>
      <c r="H222" s="44">
        <f t="shared" si="26"/>
        <v>0</v>
      </c>
      <c r="I222" s="40">
        <f t="shared" si="27"/>
        <v>3558484</v>
      </c>
    </row>
    <row r="223" spans="2:9" ht="15.75" customHeight="1" x14ac:dyDescent="0.3">
      <c r="B223" s="31">
        <v>213</v>
      </c>
      <c r="C223" s="32">
        <f t="shared" si="21"/>
        <v>52812</v>
      </c>
      <c r="D223" s="33">
        <f t="shared" si="22"/>
        <v>0</v>
      </c>
      <c r="E223" s="34">
        <f t="shared" si="23"/>
        <v>0</v>
      </c>
      <c r="F223" s="35">
        <f t="shared" si="25"/>
        <v>0</v>
      </c>
      <c r="G223" s="36">
        <f t="shared" si="24"/>
        <v>0</v>
      </c>
      <c r="H223" s="37">
        <f t="shared" si="26"/>
        <v>0</v>
      </c>
      <c r="I223" s="33">
        <f t="shared" si="27"/>
        <v>3558484</v>
      </c>
    </row>
    <row r="224" spans="2:9" ht="15.75" customHeight="1" x14ac:dyDescent="0.3">
      <c r="B224" s="38">
        <v>214</v>
      </c>
      <c r="C224" s="39">
        <f t="shared" si="21"/>
        <v>52843</v>
      </c>
      <c r="D224" s="40">
        <f t="shared" si="22"/>
        <v>0</v>
      </c>
      <c r="E224" s="41">
        <f t="shared" si="23"/>
        <v>0</v>
      </c>
      <c r="F224" s="42">
        <f t="shared" si="25"/>
        <v>0</v>
      </c>
      <c r="G224" s="43">
        <f t="shared" si="24"/>
        <v>0</v>
      </c>
      <c r="H224" s="44">
        <f t="shared" si="26"/>
        <v>0</v>
      </c>
      <c r="I224" s="40">
        <f t="shared" si="27"/>
        <v>3558484</v>
      </c>
    </row>
    <row r="225" spans="2:9" ht="15.75" customHeight="1" x14ac:dyDescent="0.3">
      <c r="B225" s="31">
        <v>215</v>
      </c>
      <c r="C225" s="32">
        <f t="shared" si="21"/>
        <v>52873</v>
      </c>
      <c r="D225" s="33">
        <f t="shared" si="22"/>
        <v>0</v>
      </c>
      <c r="E225" s="34">
        <f t="shared" si="23"/>
        <v>0</v>
      </c>
      <c r="F225" s="35">
        <f t="shared" si="25"/>
        <v>0</v>
      </c>
      <c r="G225" s="36">
        <f t="shared" si="24"/>
        <v>0</v>
      </c>
      <c r="H225" s="37">
        <f t="shared" si="26"/>
        <v>0</v>
      </c>
      <c r="I225" s="33">
        <f t="shared" si="27"/>
        <v>3558484</v>
      </c>
    </row>
    <row r="226" spans="2:9" ht="15.75" customHeight="1" x14ac:dyDescent="0.3">
      <c r="B226" s="38">
        <v>216</v>
      </c>
      <c r="C226" s="39">
        <f t="shared" si="21"/>
        <v>52904</v>
      </c>
      <c r="D226" s="40">
        <f t="shared" si="22"/>
        <v>0</v>
      </c>
      <c r="E226" s="41">
        <f t="shared" si="23"/>
        <v>0</v>
      </c>
      <c r="F226" s="42">
        <f t="shared" si="25"/>
        <v>0</v>
      </c>
      <c r="G226" s="43">
        <f t="shared" si="24"/>
        <v>0</v>
      </c>
      <c r="H226" s="44">
        <f t="shared" si="26"/>
        <v>0</v>
      </c>
      <c r="I226" s="40">
        <f t="shared" si="27"/>
        <v>3558484</v>
      </c>
    </row>
    <row r="227" spans="2:9" ht="15.75" customHeight="1" x14ac:dyDescent="0.3">
      <c r="B227" s="31">
        <v>217</v>
      </c>
      <c r="C227" s="32">
        <f t="shared" si="21"/>
        <v>52934</v>
      </c>
      <c r="D227" s="33">
        <f t="shared" si="22"/>
        <v>0</v>
      </c>
      <c r="E227" s="34">
        <f t="shared" si="23"/>
        <v>0</v>
      </c>
      <c r="F227" s="35">
        <f t="shared" si="25"/>
        <v>0</v>
      </c>
      <c r="G227" s="36">
        <f t="shared" si="24"/>
        <v>0</v>
      </c>
      <c r="H227" s="37">
        <f t="shared" si="26"/>
        <v>0</v>
      </c>
      <c r="I227" s="33">
        <f t="shared" si="27"/>
        <v>3558484</v>
      </c>
    </row>
    <row r="228" spans="2:9" ht="15.75" customHeight="1" x14ac:dyDescent="0.3">
      <c r="B228" s="38">
        <v>218</v>
      </c>
      <c r="C228" s="39">
        <f t="shared" si="21"/>
        <v>52965</v>
      </c>
      <c r="D228" s="40">
        <f t="shared" si="22"/>
        <v>0</v>
      </c>
      <c r="E228" s="41">
        <f t="shared" si="23"/>
        <v>0</v>
      </c>
      <c r="F228" s="42">
        <f t="shared" si="25"/>
        <v>0</v>
      </c>
      <c r="G228" s="43">
        <f t="shared" si="24"/>
        <v>0</v>
      </c>
      <c r="H228" s="44">
        <f t="shared" si="26"/>
        <v>0</v>
      </c>
      <c r="I228" s="40">
        <f t="shared" si="27"/>
        <v>3558484</v>
      </c>
    </row>
    <row r="229" spans="2:9" ht="15.75" customHeight="1" x14ac:dyDescent="0.3">
      <c r="B229" s="31">
        <v>219</v>
      </c>
      <c r="C229" s="32">
        <f t="shared" si="21"/>
        <v>52996</v>
      </c>
      <c r="D229" s="33">
        <f t="shared" si="22"/>
        <v>0</v>
      </c>
      <c r="E229" s="34">
        <f t="shared" si="23"/>
        <v>0</v>
      </c>
      <c r="F229" s="35">
        <f t="shared" si="25"/>
        <v>0</v>
      </c>
      <c r="G229" s="36">
        <f t="shared" si="24"/>
        <v>0</v>
      </c>
      <c r="H229" s="37">
        <f t="shared" si="26"/>
        <v>0</v>
      </c>
      <c r="I229" s="33">
        <f t="shared" si="27"/>
        <v>3558484</v>
      </c>
    </row>
    <row r="230" spans="2:9" ht="15.75" customHeight="1" x14ac:dyDescent="0.3">
      <c r="B230" s="38">
        <v>220</v>
      </c>
      <c r="C230" s="39">
        <f t="shared" si="21"/>
        <v>53024</v>
      </c>
      <c r="D230" s="40">
        <f t="shared" si="22"/>
        <v>0</v>
      </c>
      <c r="E230" s="41">
        <f t="shared" si="23"/>
        <v>0</v>
      </c>
      <c r="F230" s="42">
        <f t="shared" si="25"/>
        <v>0</v>
      </c>
      <c r="G230" s="43">
        <f t="shared" si="24"/>
        <v>0</v>
      </c>
      <c r="H230" s="44">
        <f t="shared" si="26"/>
        <v>0</v>
      </c>
      <c r="I230" s="40">
        <f t="shared" si="27"/>
        <v>3558484</v>
      </c>
    </row>
    <row r="231" spans="2:9" ht="15.75" customHeight="1" x14ac:dyDescent="0.3">
      <c r="B231" s="31">
        <v>221</v>
      </c>
      <c r="C231" s="32">
        <f t="shared" si="21"/>
        <v>53055</v>
      </c>
      <c r="D231" s="33">
        <f t="shared" si="22"/>
        <v>0</v>
      </c>
      <c r="E231" s="34">
        <f t="shared" si="23"/>
        <v>0</v>
      </c>
      <c r="F231" s="35">
        <f t="shared" si="25"/>
        <v>0</v>
      </c>
      <c r="G231" s="36">
        <f t="shared" si="24"/>
        <v>0</v>
      </c>
      <c r="H231" s="37">
        <f t="shared" si="26"/>
        <v>0</v>
      </c>
      <c r="I231" s="33">
        <f t="shared" si="27"/>
        <v>3558484</v>
      </c>
    </row>
    <row r="232" spans="2:9" ht="15.75" customHeight="1" x14ac:dyDescent="0.3">
      <c r="B232" s="38">
        <v>222</v>
      </c>
      <c r="C232" s="39">
        <f t="shared" si="21"/>
        <v>53085</v>
      </c>
      <c r="D232" s="40">
        <f t="shared" si="22"/>
        <v>0</v>
      </c>
      <c r="E232" s="41">
        <f t="shared" si="23"/>
        <v>0</v>
      </c>
      <c r="F232" s="42">
        <f t="shared" si="25"/>
        <v>0</v>
      </c>
      <c r="G232" s="43">
        <f t="shared" si="24"/>
        <v>0</v>
      </c>
      <c r="H232" s="44">
        <f t="shared" si="26"/>
        <v>0</v>
      </c>
      <c r="I232" s="40">
        <f t="shared" si="27"/>
        <v>3558484</v>
      </c>
    </row>
    <row r="233" spans="2:9" ht="15.75" customHeight="1" x14ac:dyDescent="0.3">
      <c r="B233" s="31">
        <v>223</v>
      </c>
      <c r="C233" s="32">
        <f t="shared" si="21"/>
        <v>53116</v>
      </c>
      <c r="D233" s="33">
        <f t="shared" si="22"/>
        <v>0</v>
      </c>
      <c r="E233" s="34">
        <f t="shared" si="23"/>
        <v>0</v>
      </c>
      <c r="F233" s="35">
        <f t="shared" si="25"/>
        <v>0</v>
      </c>
      <c r="G233" s="36">
        <f t="shared" si="24"/>
        <v>0</v>
      </c>
      <c r="H233" s="37">
        <f t="shared" si="26"/>
        <v>0</v>
      </c>
      <c r="I233" s="33">
        <f t="shared" si="27"/>
        <v>3558484</v>
      </c>
    </row>
    <row r="234" spans="2:9" ht="15.75" customHeight="1" x14ac:dyDescent="0.3">
      <c r="B234" s="38">
        <v>224</v>
      </c>
      <c r="C234" s="39">
        <f t="shared" si="21"/>
        <v>53146</v>
      </c>
      <c r="D234" s="40">
        <f t="shared" si="22"/>
        <v>0</v>
      </c>
      <c r="E234" s="41">
        <f t="shared" si="23"/>
        <v>0</v>
      </c>
      <c r="F234" s="42">
        <f t="shared" si="25"/>
        <v>0</v>
      </c>
      <c r="G234" s="43">
        <f t="shared" si="24"/>
        <v>0</v>
      </c>
      <c r="H234" s="44">
        <f t="shared" si="26"/>
        <v>0</v>
      </c>
      <c r="I234" s="40">
        <f t="shared" si="27"/>
        <v>3558484</v>
      </c>
    </row>
    <row r="235" spans="2:9" ht="15.75" customHeight="1" x14ac:dyDescent="0.3">
      <c r="B235" s="31">
        <v>225</v>
      </c>
      <c r="C235" s="32">
        <f t="shared" si="21"/>
        <v>53177</v>
      </c>
      <c r="D235" s="33">
        <f t="shared" si="22"/>
        <v>0</v>
      </c>
      <c r="E235" s="34">
        <f t="shared" si="23"/>
        <v>0</v>
      </c>
      <c r="F235" s="35">
        <f t="shared" si="25"/>
        <v>0</v>
      </c>
      <c r="G235" s="36">
        <f t="shared" si="24"/>
        <v>0</v>
      </c>
      <c r="H235" s="37">
        <f t="shared" si="26"/>
        <v>0</v>
      </c>
      <c r="I235" s="33">
        <f t="shared" si="27"/>
        <v>3558484</v>
      </c>
    </row>
    <row r="236" spans="2:9" ht="15.75" customHeight="1" x14ac:dyDescent="0.3">
      <c r="B236" s="38">
        <v>226</v>
      </c>
      <c r="C236" s="39">
        <f t="shared" si="21"/>
        <v>53208</v>
      </c>
      <c r="D236" s="40">
        <f t="shared" si="22"/>
        <v>0</v>
      </c>
      <c r="E236" s="41">
        <f t="shared" si="23"/>
        <v>0</v>
      </c>
      <c r="F236" s="42">
        <f t="shared" si="25"/>
        <v>0</v>
      </c>
      <c r="G236" s="43">
        <f t="shared" si="24"/>
        <v>0</v>
      </c>
      <c r="H236" s="44">
        <f t="shared" si="26"/>
        <v>0</v>
      </c>
      <c r="I236" s="40">
        <f t="shared" si="27"/>
        <v>3558484</v>
      </c>
    </row>
    <row r="237" spans="2:9" ht="15.75" customHeight="1" x14ac:dyDescent="0.3">
      <c r="B237" s="31">
        <v>227</v>
      </c>
      <c r="C237" s="32">
        <f t="shared" si="21"/>
        <v>53238</v>
      </c>
      <c r="D237" s="33">
        <f t="shared" si="22"/>
        <v>0</v>
      </c>
      <c r="E237" s="34">
        <f t="shared" si="23"/>
        <v>0</v>
      </c>
      <c r="F237" s="35">
        <f t="shared" si="25"/>
        <v>0</v>
      </c>
      <c r="G237" s="36">
        <f t="shared" si="24"/>
        <v>0</v>
      </c>
      <c r="H237" s="37">
        <f t="shared" si="26"/>
        <v>0</v>
      </c>
      <c r="I237" s="33">
        <f t="shared" si="27"/>
        <v>3558484</v>
      </c>
    </row>
    <row r="238" spans="2:9" ht="15.75" customHeight="1" x14ac:dyDescent="0.3">
      <c r="B238" s="38">
        <v>228</v>
      </c>
      <c r="C238" s="39">
        <f t="shared" si="21"/>
        <v>53269</v>
      </c>
      <c r="D238" s="40">
        <f t="shared" si="22"/>
        <v>0</v>
      </c>
      <c r="E238" s="41">
        <f t="shared" si="23"/>
        <v>0</v>
      </c>
      <c r="F238" s="42">
        <f t="shared" si="25"/>
        <v>0</v>
      </c>
      <c r="G238" s="43">
        <f t="shared" si="24"/>
        <v>0</v>
      </c>
      <c r="H238" s="44">
        <f t="shared" si="26"/>
        <v>0</v>
      </c>
      <c r="I238" s="40">
        <f t="shared" si="27"/>
        <v>3558484</v>
      </c>
    </row>
    <row r="239" spans="2:9" ht="15.75" customHeight="1" x14ac:dyDescent="0.3">
      <c r="B239" s="31">
        <v>229</v>
      </c>
      <c r="C239" s="32">
        <f t="shared" si="21"/>
        <v>53299</v>
      </c>
      <c r="D239" s="33">
        <f t="shared" si="22"/>
        <v>0</v>
      </c>
      <c r="E239" s="34">
        <f t="shared" si="23"/>
        <v>0</v>
      </c>
      <c r="F239" s="35">
        <f t="shared" si="25"/>
        <v>0</v>
      </c>
      <c r="G239" s="36">
        <f t="shared" si="24"/>
        <v>0</v>
      </c>
      <c r="H239" s="37">
        <f t="shared" si="26"/>
        <v>0</v>
      </c>
      <c r="I239" s="33">
        <f t="shared" si="27"/>
        <v>3558484</v>
      </c>
    </row>
    <row r="240" spans="2:9" ht="15.75" customHeight="1" x14ac:dyDescent="0.3">
      <c r="B240" s="38">
        <v>230</v>
      </c>
      <c r="C240" s="39">
        <f t="shared" si="21"/>
        <v>53330</v>
      </c>
      <c r="D240" s="40">
        <f t="shared" si="22"/>
        <v>0</v>
      </c>
      <c r="E240" s="41">
        <f t="shared" si="23"/>
        <v>0</v>
      </c>
      <c r="F240" s="42">
        <f t="shared" si="25"/>
        <v>0</v>
      </c>
      <c r="G240" s="43">
        <f t="shared" si="24"/>
        <v>0</v>
      </c>
      <c r="H240" s="44">
        <f t="shared" si="26"/>
        <v>0</v>
      </c>
      <c r="I240" s="40">
        <f t="shared" si="27"/>
        <v>3558484</v>
      </c>
    </row>
    <row r="241" spans="2:9" ht="15.75" customHeight="1" x14ac:dyDescent="0.3">
      <c r="B241" s="31">
        <v>231</v>
      </c>
      <c r="C241" s="32">
        <f t="shared" si="21"/>
        <v>53361</v>
      </c>
      <c r="D241" s="33">
        <f t="shared" si="22"/>
        <v>0</v>
      </c>
      <c r="E241" s="34">
        <f t="shared" si="23"/>
        <v>0</v>
      </c>
      <c r="F241" s="35">
        <f t="shared" si="25"/>
        <v>0</v>
      </c>
      <c r="G241" s="36">
        <f t="shared" si="24"/>
        <v>0</v>
      </c>
      <c r="H241" s="37">
        <f t="shared" si="26"/>
        <v>0</v>
      </c>
      <c r="I241" s="33">
        <f t="shared" si="27"/>
        <v>3558484</v>
      </c>
    </row>
    <row r="242" spans="2:9" ht="15.75" customHeight="1" x14ac:dyDescent="0.3">
      <c r="B242" s="38">
        <v>232</v>
      </c>
      <c r="C242" s="39">
        <f t="shared" si="21"/>
        <v>53389</v>
      </c>
      <c r="D242" s="40">
        <f t="shared" si="22"/>
        <v>0</v>
      </c>
      <c r="E242" s="41">
        <f t="shared" si="23"/>
        <v>0</v>
      </c>
      <c r="F242" s="42">
        <f t="shared" si="25"/>
        <v>0</v>
      </c>
      <c r="G242" s="43">
        <f t="shared" si="24"/>
        <v>0</v>
      </c>
      <c r="H242" s="44">
        <f t="shared" si="26"/>
        <v>0</v>
      </c>
      <c r="I242" s="40">
        <f t="shared" si="27"/>
        <v>3558484</v>
      </c>
    </row>
    <row r="243" spans="2:9" ht="15.75" customHeight="1" x14ac:dyDescent="0.3">
      <c r="B243" s="31">
        <v>233</v>
      </c>
      <c r="C243" s="32">
        <f t="shared" si="21"/>
        <v>53420</v>
      </c>
      <c r="D243" s="33">
        <f t="shared" si="22"/>
        <v>0</v>
      </c>
      <c r="E243" s="34">
        <f t="shared" si="23"/>
        <v>0</v>
      </c>
      <c r="F243" s="35">
        <f t="shared" si="25"/>
        <v>0</v>
      </c>
      <c r="G243" s="36">
        <f t="shared" si="24"/>
        <v>0</v>
      </c>
      <c r="H243" s="37">
        <f t="shared" si="26"/>
        <v>0</v>
      </c>
      <c r="I243" s="33">
        <f t="shared" si="27"/>
        <v>3558484</v>
      </c>
    </row>
    <row r="244" spans="2:9" ht="15.75" customHeight="1" x14ac:dyDescent="0.3">
      <c r="B244" s="38">
        <v>234</v>
      </c>
      <c r="C244" s="39">
        <f t="shared" si="21"/>
        <v>53450</v>
      </c>
      <c r="D244" s="40">
        <f t="shared" si="22"/>
        <v>0</v>
      </c>
      <c r="E244" s="41">
        <f t="shared" si="23"/>
        <v>0</v>
      </c>
      <c r="F244" s="42">
        <f t="shared" si="25"/>
        <v>0</v>
      </c>
      <c r="G244" s="43">
        <f t="shared" si="24"/>
        <v>0</v>
      </c>
      <c r="H244" s="44">
        <f t="shared" si="26"/>
        <v>0</v>
      </c>
      <c r="I244" s="40">
        <f t="shared" si="27"/>
        <v>3558484</v>
      </c>
    </row>
    <row r="245" spans="2:9" ht="15.75" customHeight="1" x14ac:dyDescent="0.3">
      <c r="B245" s="31">
        <v>235</v>
      </c>
      <c r="C245" s="32">
        <f t="shared" si="21"/>
        <v>53481</v>
      </c>
      <c r="D245" s="33">
        <f t="shared" si="22"/>
        <v>0</v>
      </c>
      <c r="E245" s="34">
        <f t="shared" si="23"/>
        <v>0</v>
      </c>
      <c r="F245" s="35">
        <f t="shared" si="25"/>
        <v>0</v>
      </c>
      <c r="G245" s="36">
        <f t="shared" si="24"/>
        <v>0</v>
      </c>
      <c r="H245" s="37">
        <f t="shared" si="26"/>
        <v>0</v>
      </c>
      <c r="I245" s="33">
        <f t="shared" si="27"/>
        <v>3558484</v>
      </c>
    </row>
    <row r="246" spans="2:9" ht="15.75" customHeight="1" x14ac:dyDescent="0.3">
      <c r="B246" s="38">
        <v>236</v>
      </c>
      <c r="C246" s="39">
        <f t="shared" si="21"/>
        <v>53511</v>
      </c>
      <c r="D246" s="40">
        <f t="shared" si="22"/>
        <v>0</v>
      </c>
      <c r="E246" s="41">
        <f t="shared" si="23"/>
        <v>0</v>
      </c>
      <c r="F246" s="42">
        <f t="shared" si="25"/>
        <v>0</v>
      </c>
      <c r="G246" s="43">
        <f t="shared" si="24"/>
        <v>0</v>
      </c>
      <c r="H246" s="44">
        <f t="shared" si="26"/>
        <v>0</v>
      </c>
      <c r="I246" s="40">
        <f t="shared" si="27"/>
        <v>3558484</v>
      </c>
    </row>
    <row r="247" spans="2:9" ht="15.75" customHeight="1" x14ac:dyDescent="0.3">
      <c r="B247" s="31">
        <v>237</v>
      </c>
      <c r="C247" s="32">
        <f t="shared" si="21"/>
        <v>53542</v>
      </c>
      <c r="D247" s="33">
        <f t="shared" si="22"/>
        <v>0</v>
      </c>
      <c r="E247" s="34">
        <f t="shared" si="23"/>
        <v>0</v>
      </c>
      <c r="F247" s="35">
        <f t="shared" si="25"/>
        <v>0</v>
      </c>
      <c r="G247" s="36">
        <f t="shared" si="24"/>
        <v>0</v>
      </c>
      <c r="H247" s="37">
        <f t="shared" si="26"/>
        <v>0</v>
      </c>
      <c r="I247" s="33">
        <f t="shared" si="27"/>
        <v>3558484</v>
      </c>
    </row>
    <row r="248" spans="2:9" ht="15.75" customHeight="1" x14ac:dyDescent="0.3">
      <c r="B248" s="38">
        <v>238</v>
      </c>
      <c r="C248" s="39">
        <f t="shared" si="21"/>
        <v>53573</v>
      </c>
      <c r="D248" s="40">
        <f t="shared" si="22"/>
        <v>0</v>
      </c>
      <c r="E248" s="41">
        <f t="shared" si="23"/>
        <v>0</v>
      </c>
      <c r="F248" s="42">
        <f t="shared" si="25"/>
        <v>0</v>
      </c>
      <c r="G248" s="43">
        <f t="shared" si="24"/>
        <v>0</v>
      </c>
      <c r="H248" s="44">
        <f t="shared" si="26"/>
        <v>0</v>
      </c>
      <c r="I248" s="40">
        <f t="shared" si="27"/>
        <v>3558484</v>
      </c>
    </row>
    <row r="249" spans="2:9" ht="15.75" customHeight="1" x14ac:dyDescent="0.3">
      <c r="B249" s="31">
        <v>239</v>
      </c>
      <c r="C249" s="32">
        <f t="shared" si="21"/>
        <v>53603</v>
      </c>
      <c r="D249" s="33">
        <f t="shared" si="22"/>
        <v>0</v>
      </c>
      <c r="E249" s="34">
        <f t="shared" si="23"/>
        <v>0</v>
      </c>
      <c r="F249" s="35">
        <f t="shared" si="25"/>
        <v>0</v>
      </c>
      <c r="G249" s="36">
        <f t="shared" si="24"/>
        <v>0</v>
      </c>
      <c r="H249" s="37">
        <f t="shared" si="26"/>
        <v>0</v>
      </c>
      <c r="I249" s="33">
        <f t="shared" si="27"/>
        <v>3558484</v>
      </c>
    </row>
    <row r="250" spans="2:9" ht="15.75" customHeight="1" x14ac:dyDescent="0.3">
      <c r="B250" s="38">
        <v>240</v>
      </c>
      <c r="C250" s="39">
        <f t="shared" si="21"/>
        <v>53634</v>
      </c>
      <c r="D250" s="40">
        <f t="shared" si="22"/>
        <v>0</v>
      </c>
      <c r="E250" s="41">
        <f t="shared" si="23"/>
        <v>0</v>
      </c>
      <c r="F250" s="42">
        <f t="shared" si="25"/>
        <v>0</v>
      </c>
      <c r="G250" s="43">
        <f t="shared" si="24"/>
        <v>0</v>
      </c>
      <c r="H250" s="44">
        <f t="shared" si="26"/>
        <v>0</v>
      </c>
      <c r="I250" s="40">
        <f t="shared" si="27"/>
        <v>3558484</v>
      </c>
    </row>
    <row r="251" spans="2:9" ht="15.75" customHeight="1" x14ac:dyDescent="0.3">
      <c r="B251" s="31">
        <v>241</v>
      </c>
      <c r="C251" s="32">
        <f t="shared" si="21"/>
        <v>53664</v>
      </c>
      <c r="D251" s="33">
        <f t="shared" si="22"/>
        <v>0</v>
      </c>
      <c r="E251" s="34">
        <f t="shared" si="23"/>
        <v>0</v>
      </c>
      <c r="F251" s="35">
        <f t="shared" si="25"/>
        <v>0</v>
      </c>
      <c r="G251" s="36">
        <f t="shared" si="24"/>
        <v>0</v>
      </c>
      <c r="H251" s="37">
        <f t="shared" si="26"/>
        <v>0</v>
      </c>
      <c r="I251" s="33">
        <f t="shared" si="27"/>
        <v>3558484</v>
      </c>
    </row>
    <row r="252" spans="2:9" ht="21.75" customHeight="1" x14ac:dyDescent="0.3">
      <c r="B252" s="5" t="s">
        <v>40</v>
      </c>
      <c r="C252" s="5"/>
      <c r="D252" s="45">
        <f>SUM(D11:D251)</f>
        <v>7289715.1602704721</v>
      </c>
      <c r="E252" s="45">
        <f>SUM(E11:E251)</f>
        <v>3731231.1602704898</v>
      </c>
      <c r="F252" s="45">
        <f>SUM(F11:F251)</f>
        <v>3558484</v>
      </c>
      <c r="G252" s="45">
        <f>SUM(G11:G251)</f>
        <v>1400000</v>
      </c>
      <c r="H252" s="46"/>
      <c r="I252" s="46"/>
    </row>
  </sheetData>
  <mergeCells count="4">
    <mergeCell ref="A1:I1"/>
    <mergeCell ref="A2:I2"/>
    <mergeCell ref="B4:H4"/>
    <mergeCell ref="B252:C252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2E7D32"/>
  </sheetPr>
  <dimension ref="A1:G27"/>
  <sheetViews>
    <sheetView showGridLines="0" zoomScaleNormal="100" workbookViewId="0"/>
  </sheetViews>
  <sheetFormatPr defaultColWidth="8.6640625" defaultRowHeight="14.4" x14ac:dyDescent="0.3"/>
  <cols>
    <col min="1" max="1" width="3" customWidth="1"/>
    <col min="2" max="2" width="32" customWidth="1"/>
    <col min="3" max="3" width="24" customWidth="1"/>
    <col min="4" max="4" width="5" customWidth="1"/>
    <col min="5" max="5" width="32" customWidth="1"/>
    <col min="6" max="6" width="24" customWidth="1"/>
    <col min="7" max="7" width="3" customWidth="1"/>
  </cols>
  <sheetData>
    <row r="1" spans="1:7" ht="36" customHeight="1" x14ac:dyDescent="0.3">
      <c r="A1" s="8" t="s">
        <v>41</v>
      </c>
      <c r="B1" s="8"/>
      <c r="C1" s="8"/>
      <c r="D1" s="8"/>
      <c r="E1" s="8"/>
      <c r="F1" s="8"/>
      <c r="G1" s="8"/>
    </row>
    <row r="3" spans="1:7" ht="7.5" customHeight="1" x14ac:dyDescent="0.3"/>
    <row r="4" spans="1:7" ht="21.75" customHeight="1" x14ac:dyDescent="0.3">
      <c r="B4" s="4" t="s">
        <v>42</v>
      </c>
      <c r="C4" s="4"/>
    </row>
    <row r="5" spans="1:7" ht="21.75" customHeight="1" x14ac:dyDescent="0.3">
      <c r="B5" s="15" t="s">
        <v>4</v>
      </c>
      <c r="C5" s="26">
        <f>'EMI Calculator'!C6</f>
        <v>5000000</v>
      </c>
    </row>
    <row r="6" spans="1:7" ht="21.75" customHeight="1" x14ac:dyDescent="0.3">
      <c r="B6" s="15" t="s">
        <v>43</v>
      </c>
      <c r="C6" s="27">
        <f>'EMI Calculator'!C7</f>
        <v>8.5000000000000006E-2</v>
      </c>
    </row>
    <row r="7" spans="1:7" ht="21.75" customHeight="1" x14ac:dyDescent="0.3">
      <c r="B7" s="15" t="s">
        <v>28</v>
      </c>
      <c r="C7" s="28">
        <f>'EMI Calculator'!C8</f>
        <v>20</v>
      </c>
    </row>
    <row r="8" spans="1:7" ht="21.75" customHeight="1" x14ac:dyDescent="0.3">
      <c r="B8" s="15" t="s">
        <v>5</v>
      </c>
      <c r="C8" s="26">
        <f>'EMI Calculator'!F6</f>
        <v>43391.161668276698</v>
      </c>
    </row>
    <row r="10" spans="1:7" ht="7.5" customHeight="1" x14ac:dyDescent="0.3"/>
    <row r="11" spans="1:7" ht="21.75" customHeight="1" x14ac:dyDescent="0.3">
      <c r="B11" s="12" t="s">
        <v>44</v>
      </c>
      <c r="C11" s="12"/>
    </row>
    <row r="12" spans="1:7" ht="21.75" customHeight="1" x14ac:dyDescent="0.3">
      <c r="B12" s="15" t="s">
        <v>12</v>
      </c>
      <c r="C12" s="16">
        <v>200000</v>
      </c>
    </row>
    <row r="13" spans="1:7" ht="21.75" customHeight="1" x14ac:dyDescent="0.3">
      <c r="B13" s="15" t="s">
        <v>45</v>
      </c>
      <c r="C13" s="19">
        <v>24</v>
      </c>
    </row>
    <row r="14" spans="1:7" ht="21.75" customHeight="1" x14ac:dyDescent="0.3">
      <c r="B14" s="15" t="s">
        <v>46</v>
      </c>
      <c r="C14" s="19" t="s">
        <v>47</v>
      </c>
    </row>
    <row r="16" spans="1:7" ht="7.5" customHeight="1" x14ac:dyDescent="0.3"/>
    <row r="17" spans="2:6" ht="21.75" customHeight="1" x14ac:dyDescent="0.3">
      <c r="B17" s="3" t="s">
        <v>48</v>
      </c>
      <c r="C17" s="3"/>
      <c r="E17" s="2" t="s">
        <v>49</v>
      </c>
      <c r="F17" s="2"/>
    </row>
    <row r="18" spans="2:6" ht="21.75" customHeight="1" x14ac:dyDescent="0.3">
      <c r="B18" s="47" t="s">
        <v>50</v>
      </c>
      <c r="C18" s="48">
        <f>C7*12</f>
        <v>240</v>
      </c>
      <c r="E18" s="49" t="s">
        <v>51</v>
      </c>
      <c r="F18" s="48">
        <f>IFERROR(ROUND(C13+(-LN(1-(C5-C12-(C8*C13-(C5*(C6/12)*C13)))*C6/12/C8)/LN(1+C6/12)),0),0)</f>
        <v>222</v>
      </c>
    </row>
    <row r="19" spans="2:6" ht="21.75" customHeight="1" x14ac:dyDescent="0.3">
      <c r="B19" s="47" t="s">
        <v>52</v>
      </c>
      <c r="C19" s="50">
        <f>C8*C7*12</f>
        <v>10413878.800386408</v>
      </c>
      <c r="E19" s="49" t="s">
        <v>52</v>
      </c>
      <c r="F19" s="50">
        <f>IFERROR(C8*F18+C12,0)</f>
        <v>9832837.8903574273</v>
      </c>
    </row>
    <row r="20" spans="2:6" ht="21.75" customHeight="1" x14ac:dyDescent="0.3">
      <c r="B20" s="47" t="s">
        <v>53</v>
      </c>
      <c r="C20" s="50">
        <f>C19-C5</f>
        <v>5413878.8003864083</v>
      </c>
      <c r="E20" s="49" t="s">
        <v>53</v>
      </c>
      <c r="F20" s="50">
        <f>IFERROR(F19-C5,0)</f>
        <v>4832837.8903574273</v>
      </c>
    </row>
    <row r="21" spans="2:6" ht="21.75" customHeight="1" x14ac:dyDescent="0.3">
      <c r="B21" s="47" t="s">
        <v>54</v>
      </c>
      <c r="C21" s="48">
        <f>C7*12</f>
        <v>240</v>
      </c>
      <c r="E21" s="49" t="s">
        <v>55</v>
      </c>
      <c r="F21" s="48">
        <f>IFERROR(C21-F18,0)</f>
        <v>18</v>
      </c>
    </row>
    <row r="23" spans="2:6" ht="7.5" customHeight="1" x14ac:dyDescent="0.3"/>
    <row r="24" spans="2:6" ht="21.75" customHeight="1" x14ac:dyDescent="0.3">
      <c r="B24" s="1" t="s">
        <v>56</v>
      </c>
      <c r="C24" s="1"/>
      <c r="D24" s="1"/>
      <c r="E24" s="1"/>
      <c r="F24" s="1"/>
    </row>
    <row r="25" spans="2:6" ht="24" customHeight="1" x14ac:dyDescent="0.3">
      <c r="B25" s="88" t="s">
        <v>57</v>
      </c>
      <c r="C25" s="88"/>
      <c r="D25" s="51">
        <f>IFERROR(C20-F20,0)</f>
        <v>581040.91002898104</v>
      </c>
    </row>
    <row r="26" spans="2:6" ht="24" customHeight="1" x14ac:dyDescent="0.3">
      <c r="B26" s="88" t="s">
        <v>58</v>
      </c>
      <c r="C26" s="88"/>
      <c r="D26" s="52">
        <f>IFERROR(F21,0)</f>
        <v>18</v>
      </c>
    </row>
    <row r="27" spans="2:6" ht="24" customHeight="1" x14ac:dyDescent="0.3">
      <c r="B27" s="88" t="s">
        <v>59</v>
      </c>
      <c r="C27" s="88"/>
      <c r="D27" s="53">
        <f>IFERROR(D25/C20,0)</f>
        <v>0.10732432909054226</v>
      </c>
    </row>
  </sheetData>
  <mergeCells count="9">
    <mergeCell ref="B24:F24"/>
    <mergeCell ref="B25:C25"/>
    <mergeCell ref="B26:C26"/>
    <mergeCell ref="B27:C27"/>
    <mergeCell ref="A1:G1"/>
    <mergeCell ref="B4:C4"/>
    <mergeCell ref="B11:C11"/>
    <mergeCell ref="B17:C17"/>
    <mergeCell ref="E17:F17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8952A"/>
  </sheetPr>
  <dimension ref="A1:F16"/>
  <sheetViews>
    <sheetView showGridLines="0" zoomScaleNormal="100" workbookViewId="0"/>
  </sheetViews>
  <sheetFormatPr defaultColWidth="8.6640625" defaultRowHeight="14.4" x14ac:dyDescent="0.3"/>
  <cols>
    <col min="1" max="1" width="3" customWidth="1"/>
    <col min="2" max="2" width="30" customWidth="1"/>
    <col min="3" max="5" width="22" customWidth="1"/>
    <col min="6" max="6" width="3" customWidth="1"/>
  </cols>
  <sheetData>
    <row r="1" spans="1:6" ht="36" customHeight="1" x14ac:dyDescent="0.3">
      <c r="A1" s="8" t="s">
        <v>60</v>
      </c>
      <c r="B1" s="8"/>
      <c r="C1" s="8"/>
      <c r="D1" s="8"/>
      <c r="E1" s="8"/>
      <c r="F1" s="8"/>
    </row>
    <row r="3" spans="1:6" ht="7.5" customHeight="1" x14ac:dyDescent="0.3"/>
    <row r="4" spans="1:6" ht="24" customHeight="1" x14ac:dyDescent="0.3">
      <c r="B4" s="54" t="s">
        <v>61</v>
      </c>
      <c r="C4" s="55" t="s">
        <v>62</v>
      </c>
      <c r="D4" s="56" t="s">
        <v>63</v>
      </c>
      <c r="E4" s="54" t="s">
        <v>64</v>
      </c>
    </row>
    <row r="5" spans="1:6" ht="21.75" customHeight="1" x14ac:dyDescent="0.3">
      <c r="B5" s="15" t="s">
        <v>4</v>
      </c>
      <c r="C5" s="57">
        <f>'EMI Calculator'!C6</f>
        <v>5000000</v>
      </c>
      <c r="D5" s="57">
        <f>'EMI Calculator'!C6</f>
        <v>5000000</v>
      </c>
      <c r="E5" s="58">
        <f t="shared" ref="E5:E11" si="0">D5-C5</f>
        <v>0</v>
      </c>
    </row>
    <row r="6" spans="1:6" ht="21.75" customHeight="1" x14ac:dyDescent="0.3">
      <c r="B6" s="15" t="s">
        <v>6</v>
      </c>
      <c r="C6" s="59">
        <f>'EMI Calculator'!C7</f>
        <v>8.5000000000000006E-2</v>
      </c>
      <c r="D6" s="59">
        <f>'EMI Calculator'!C7</f>
        <v>8.5000000000000006E-2</v>
      </c>
      <c r="E6" s="60">
        <f t="shared" si="0"/>
        <v>0</v>
      </c>
    </row>
    <row r="7" spans="1:6" ht="21.75" customHeight="1" x14ac:dyDescent="0.3">
      <c r="B7" s="15" t="s">
        <v>8</v>
      </c>
      <c r="C7" s="61">
        <f>'EMI Calculator'!C8</f>
        <v>20</v>
      </c>
      <c r="D7" s="61">
        <f>'Prepayment Calculator'!F18/12</f>
        <v>18.5</v>
      </c>
      <c r="E7" s="62">
        <f t="shared" si="0"/>
        <v>-1.5</v>
      </c>
    </row>
    <row r="8" spans="1:6" ht="21.75" customHeight="1" x14ac:dyDescent="0.3">
      <c r="B8" s="15" t="s">
        <v>5</v>
      </c>
      <c r="C8" s="63">
        <f>'EMI Calculator'!F6</f>
        <v>43391.161668276698</v>
      </c>
      <c r="D8" s="63">
        <f>'EMI Calculator'!F6</f>
        <v>43391.161668276698</v>
      </c>
      <c r="E8" s="58">
        <f t="shared" si="0"/>
        <v>0</v>
      </c>
    </row>
    <row r="9" spans="1:6" ht="21.75" customHeight="1" x14ac:dyDescent="0.3">
      <c r="B9" s="15" t="s">
        <v>65</v>
      </c>
      <c r="C9" s="57">
        <f>'Prepayment Calculator'!C19</f>
        <v>10413878.800386408</v>
      </c>
      <c r="D9" s="57">
        <f>'Prepayment Calculator'!F19</f>
        <v>9832837.8903574273</v>
      </c>
      <c r="E9" s="58">
        <f t="shared" si="0"/>
        <v>-581040.91002898104</v>
      </c>
    </row>
    <row r="10" spans="1:6" ht="21.75" customHeight="1" x14ac:dyDescent="0.3">
      <c r="B10" s="15" t="s">
        <v>53</v>
      </c>
      <c r="C10" s="63">
        <f>'Prepayment Calculator'!C20</f>
        <v>5413878.8003864083</v>
      </c>
      <c r="D10" s="63">
        <f>'Prepayment Calculator'!F20</f>
        <v>4832837.8903574273</v>
      </c>
      <c r="E10" s="58">
        <f t="shared" si="0"/>
        <v>-581040.91002898104</v>
      </c>
    </row>
    <row r="11" spans="1:6" ht="21.75" customHeight="1" x14ac:dyDescent="0.3">
      <c r="B11" s="15" t="s">
        <v>66</v>
      </c>
      <c r="C11" s="64">
        <f>'Prepayment Calculator'!C21</f>
        <v>240</v>
      </c>
      <c r="D11" s="64">
        <f>'Prepayment Calculator'!F18</f>
        <v>222</v>
      </c>
      <c r="E11" s="65">
        <f t="shared" si="0"/>
        <v>-18</v>
      </c>
    </row>
    <row r="12" spans="1:6" ht="21.75" customHeight="1" x14ac:dyDescent="0.3">
      <c r="B12" s="15" t="s">
        <v>57</v>
      </c>
      <c r="C12" s="63" t="s">
        <v>67</v>
      </c>
      <c r="D12" s="63" t="s">
        <v>67</v>
      </c>
      <c r="E12" s="66">
        <f>'Prepayment Calculator'!C25</f>
        <v>0</v>
      </c>
    </row>
    <row r="13" spans="1:6" ht="21.75" customHeight="1" x14ac:dyDescent="0.3">
      <c r="B13" s="15" t="s">
        <v>58</v>
      </c>
      <c r="C13" s="64" t="s">
        <v>67</v>
      </c>
      <c r="D13" s="64" t="s">
        <v>67</v>
      </c>
      <c r="E13" s="67">
        <f>'Prepayment Calculator'!C26</f>
        <v>0</v>
      </c>
    </row>
    <row r="15" spans="1:6" ht="7.5" customHeight="1" x14ac:dyDescent="0.3"/>
    <row r="16" spans="1:6" ht="27.75" customHeight="1" x14ac:dyDescent="0.3">
      <c r="B16" s="89" t="s">
        <v>68</v>
      </c>
      <c r="C16" s="89"/>
      <c r="D16" s="89"/>
      <c r="E16" s="89"/>
    </row>
  </sheetData>
  <mergeCells count="2">
    <mergeCell ref="A1:F1"/>
    <mergeCell ref="B16:E16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6A1B9A"/>
  </sheetPr>
  <dimension ref="A1:G24"/>
  <sheetViews>
    <sheetView showGridLines="0" zoomScaleNormal="100" workbookViewId="0"/>
  </sheetViews>
  <sheetFormatPr defaultColWidth="8.6640625" defaultRowHeight="14.4" x14ac:dyDescent="0.3"/>
  <cols>
    <col min="1" max="1" width="3" customWidth="1"/>
    <col min="2" max="2" width="34" customWidth="1"/>
    <col min="3" max="6" width="22" customWidth="1"/>
    <col min="7" max="7" width="3" customWidth="1"/>
  </cols>
  <sheetData>
    <row r="1" spans="1:7" ht="36" customHeight="1" x14ac:dyDescent="0.3">
      <c r="A1" s="8" t="s">
        <v>69</v>
      </c>
      <c r="B1" s="8"/>
      <c r="C1" s="8"/>
      <c r="D1" s="8"/>
      <c r="E1" s="8"/>
      <c r="F1" s="8"/>
      <c r="G1" s="8"/>
    </row>
    <row r="2" spans="1:7" ht="15.75" customHeight="1" x14ac:dyDescent="0.3">
      <c r="A2" s="13" t="s">
        <v>70</v>
      </c>
      <c r="B2" s="13"/>
      <c r="C2" s="13"/>
      <c r="D2" s="13"/>
      <c r="E2" s="13"/>
      <c r="F2" s="13"/>
      <c r="G2" s="13"/>
    </row>
    <row r="3" spans="1:7" ht="7.5" customHeight="1" x14ac:dyDescent="0.3"/>
    <row r="4" spans="1:7" ht="21.75" customHeight="1" x14ac:dyDescent="0.3">
      <c r="B4" s="12" t="s">
        <v>71</v>
      </c>
      <c r="C4" s="12"/>
      <c r="D4" s="12"/>
      <c r="E4" s="12"/>
      <c r="F4" s="12"/>
    </row>
    <row r="5" spans="1:7" ht="21.75" customHeight="1" x14ac:dyDescent="0.3">
      <c r="B5" s="15" t="s">
        <v>72</v>
      </c>
      <c r="C5" s="26">
        <f>'EMI Calculator'!C6</f>
        <v>5000000</v>
      </c>
    </row>
    <row r="6" spans="1:7" ht="21.75" customHeight="1" x14ac:dyDescent="0.3">
      <c r="B6" s="15" t="s">
        <v>6</v>
      </c>
      <c r="C6" s="27">
        <f>'EMI Calculator'!C7</f>
        <v>8.5000000000000006E-2</v>
      </c>
    </row>
    <row r="7" spans="1:7" ht="21.75" customHeight="1" x14ac:dyDescent="0.3">
      <c r="B7" s="15" t="s">
        <v>8</v>
      </c>
      <c r="C7" s="28">
        <f>'EMI Calculator'!C8</f>
        <v>20</v>
      </c>
    </row>
    <row r="8" spans="1:7" ht="21.75" customHeight="1" x14ac:dyDescent="0.3">
      <c r="B8" s="15" t="s">
        <v>5</v>
      </c>
      <c r="C8" s="26">
        <f>'EMI Calculator'!F6</f>
        <v>43391.161668276698</v>
      </c>
    </row>
    <row r="9" spans="1:7" ht="21.75" customHeight="1" x14ac:dyDescent="0.3">
      <c r="B9" s="15" t="s">
        <v>73</v>
      </c>
      <c r="C9" s="16">
        <v>5000</v>
      </c>
    </row>
    <row r="10" spans="1:7" ht="21.75" customHeight="1" x14ac:dyDescent="0.3">
      <c r="B10" s="15" t="s">
        <v>74</v>
      </c>
      <c r="C10" s="16">
        <v>100000</v>
      </c>
    </row>
    <row r="11" spans="1:7" ht="21.75" customHeight="1" x14ac:dyDescent="0.3">
      <c r="B11" s="15" t="s">
        <v>75</v>
      </c>
      <c r="C11" s="16">
        <v>500000</v>
      </c>
    </row>
    <row r="13" spans="1:7" ht="7.5" customHeight="1" x14ac:dyDescent="0.3"/>
    <row r="14" spans="1:7" ht="21.75" customHeight="1" x14ac:dyDescent="0.3">
      <c r="B14" s="4" t="s">
        <v>76</v>
      </c>
      <c r="C14" s="4"/>
      <c r="D14" s="4"/>
      <c r="E14" s="4"/>
      <c r="F14" s="4"/>
    </row>
    <row r="15" spans="1:7" ht="25.5" customHeight="1" x14ac:dyDescent="0.3">
      <c r="B15" s="30" t="s">
        <v>77</v>
      </c>
      <c r="C15" s="30" t="s">
        <v>78</v>
      </c>
      <c r="D15" s="30" t="s">
        <v>79</v>
      </c>
      <c r="E15" s="30" t="s">
        <v>80</v>
      </c>
      <c r="F15" s="30" t="s">
        <v>81</v>
      </c>
    </row>
    <row r="16" spans="1:7" ht="21.75" customHeight="1" x14ac:dyDescent="0.3">
      <c r="B16" s="15" t="s">
        <v>65</v>
      </c>
      <c r="C16" s="63">
        <f>C8*C7*12</f>
        <v>10413878.800386408</v>
      </c>
      <c r="D16" s="63">
        <f>C8*C7*12</f>
        <v>10413878.800386408</v>
      </c>
      <c r="E16" s="63">
        <f>C8*C7*12</f>
        <v>10413878.800386408</v>
      </c>
      <c r="F16" s="63">
        <f>C8*C7*12</f>
        <v>10413878.800386408</v>
      </c>
    </row>
    <row r="17" spans="2:6" ht="21.75" customHeight="1" x14ac:dyDescent="0.3">
      <c r="B17" s="15" t="s">
        <v>82</v>
      </c>
      <c r="C17" s="57">
        <f>0</f>
        <v>0</v>
      </c>
      <c r="D17" s="57">
        <f>C9*C7*12</f>
        <v>1200000</v>
      </c>
      <c r="E17" s="57">
        <f>C10*C7</f>
        <v>2000000</v>
      </c>
      <c r="F17" s="57">
        <f>C11</f>
        <v>500000</v>
      </c>
    </row>
    <row r="18" spans="2:6" ht="21.75" customHeight="1" x14ac:dyDescent="0.3">
      <c r="B18" s="15" t="s">
        <v>52</v>
      </c>
      <c r="C18" s="63">
        <f>C16</f>
        <v>10413878.800386408</v>
      </c>
      <c r="D18" s="63">
        <f>D16+D17</f>
        <v>11613878.800386408</v>
      </c>
      <c r="E18" s="63">
        <f>E16+E17</f>
        <v>12413878.800386408</v>
      </c>
      <c r="F18" s="63">
        <f>F16+F17</f>
        <v>10913878.800386408</v>
      </c>
    </row>
    <row r="19" spans="2:6" ht="21.75" customHeight="1" x14ac:dyDescent="0.3">
      <c r="B19" s="15" t="s">
        <v>53</v>
      </c>
      <c r="C19" s="57">
        <f>C18-C5</f>
        <v>5413878.8003864083</v>
      </c>
      <c r="D19" s="57">
        <f>IFERROR(D18-C5,0)</f>
        <v>6613878.8003864083</v>
      </c>
      <c r="E19" s="57">
        <f>IFERROR(E18-C5,0)</f>
        <v>7413878.8003864083</v>
      </c>
      <c r="F19" s="57">
        <f>IFERROR(F18-C5,0)</f>
        <v>5913878.8003864083</v>
      </c>
    </row>
    <row r="20" spans="2:6" ht="21.75" customHeight="1" x14ac:dyDescent="0.3">
      <c r="B20" s="15" t="s">
        <v>83</v>
      </c>
      <c r="C20" s="66">
        <f>0</f>
        <v>0</v>
      </c>
      <c r="D20" s="66">
        <f>IFERROR(C19-D19,0)</f>
        <v>-1200000</v>
      </c>
      <c r="E20" s="66">
        <f>IFERROR(C19-E19,0)</f>
        <v>-2000000</v>
      </c>
      <c r="F20" s="66">
        <f>IFERROR(C19-F19,0)</f>
        <v>-500000</v>
      </c>
    </row>
    <row r="21" spans="2:6" ht="21.75" customHeight="1" x14ac:dyDescent="0.3">
      <c r="B21" s="15" t="s">
        <v>84</v>
      </c>
      <c r="C21" s="68">
        <f>0</f>
        <v>0</v>
      </c>
      <c r="D21" s="68">
        <f>IFERROR(ROUND(C9/C8*C7*12,0),0)</f>
        <v>28</v>
      </c>
      <c r="E21" s="68">
        <f>IFERROR(ROUND(C10/C8*C7,0),0)</f>
        <v>46</v>
      </c>
      <c r="F21" s="68">
        <f>IFERROR(ROUND(C11/C8,0),0)</f>
        <v>12</v>
      </c>
    </row>
    <row r="23" spans="2:6" ht="7.5" customHeight="1" x14ac:dyDescent="0.3"/>
    <row r="24" spans="2:6" ht="27.75" customHeight="1" x14ac:dyDescent="0.3">
      <c r="B24" s="90" t="s">
        <v>85</v>
      </c>
      <c r="C24" s="90"/>
      <c r="D24" s="90"/>
      <c r="E24" s="90"/>
      <c r="F24" s="90"/>
    </row>
  </sheetData>
  <mergeCells count="5">
    <mergeCell ref="A1:G1"/>
    <mergeCell ref="A2:G2"/>
    <mergeCell ref="B4:F4"/>
    <mergeCell ref="B14:F14"/>
    <mergeCell ref="B24:F24"/>
  </mergeCell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C62828"/>
  </sheetPr>
  <dimension ref="A1:K16"/>
  <sheetViews>
    <sheetView showGridLines="0" zoomScaleNormal="100" workbookViewId="0"/>
  </sheetViews>
  <sheetFormatPr defaultColWidth="8.6640625" defaultRowHeight="14.4" x14ac:dyDescent="0.3"/>
  <cols>
    <col min="1" max="1" width="3" customWidth="1"/>
    <col min="2" max="2" width="8" customWidth="1"/>
    <col min="3" max="3" width="24" customWidth="1"/>
    <col min="4" max="4" width="14" customWidth="1"/>
    <col min="5" max="5" width="10" customWidth="1"/>
    <col min="6" max="6" width="14" customWidth="1"/>
    <col min="7" max="8" width="16" customWidth="1"/>
    <col min="9" max="10" width="18" customWidth="1"/>
    <col min="11" max="11" width="3" customWidth="1"/>
  </cols>
  <sheetData>
    <row r="1" spans="1:11" ht="36" customHeight="1" x14ac:dyDescent="0.3">
      <c r="A1" s="8" t="s">
        <v>86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15.75" customHeight="1" x14ac:dyDescent="0.3">
      <c r="A2" s="7" t="s">
        <v>87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7.5" customHeight="1" x14ac:dyDescent="0.3"/>
    <row r="4" spans="1:11" ht="36" customHeight="1" x14ac:dyDescent="0.3">
      <c r="B4" s="30" t="s">
        <v>32</v>
      </c>
      <c r="C4" s="30" t="s">
        <v>88</v>
      </c>
      <c r="D4" s="30" t="s">
        <v>89</v>
      </c>
      <c r="E4" s="30" t="s">
        <v>90</v>
      </c>
      <c r="F4" s="30" t="s">
        <v>91</v>
      </c>
      <c r="G4" s="30" t="s">
        <v>92</v>
      </c>
      <c r="H4" s="30" t="s">
        <v>93</v>
      </c>
      <c r="I4" s="30" t="s">
        <v>94</v>
      </c>
      <c r="J4" s="30" t="s">
        <v>95</v>
      </c>
      <c r="K4" s="30" t="s">
        <v>96</v>
      </c>
    </row>
    <row r="5" spans="1:11" ht="19.5" customHeight="1" x14ac:dyDescent="0.3">
      <c r="B5" s="69">
        <v>1</v>
      </c>
      <c r="C5" s="70" t="s">
        <v>97</v>
      </c>
      <c r="D5" s="33">
        <v>2000000</v>
      </c>
      <c r="E5" s="71">
        <v>8.5000000000000006E-2</v>
      </c>
      <c r="F5" s="72">
        <v>20</v>
      </c>
      <c r="G5" s="33">
        <f>IFERROR(-PMT(0.085/12,20*12,2000000),0)</f>
        <v>17356.46466731068</v>
      </c>
      <c r="H5" s="33">
        <f>IFERROR(G5*20*12-2000000,0)</f>
        <v>2165551.5201545628</v>
      </c>
      <c r="I5" s="33">
        <v>100000</v>
      </c>
      <c r="J5" s="33">
        <f>IFERROR(G5*20*12-2000000-100000*IF("Yearly"="Yearly",20,IF("Yearly"="Monthly",20*12,1)),0)</f>
        <v>165551.52015456278</v>
      </c>
      <c r="K5" s="73">
        <f t="shared" ref="K5:K16" si="0">IFERROR(H5-I5,0)</f>
        <v>2065551.5201545628</v>
      </c>
    </row>
    <row r="6" spans="1:11" ht="19.5" customHeight="1" x14ac:dyDescent="0.3">
      <c r="B6" s="74">
        <v>2</v>
      </c>
      <c r="C6" s="75" t="s">
        <v>98</v>
      </c>
      <c r="D6" s="40">
        <v>5000000</v>
      </c>
      <c r="E6" s="76">
        <v>0.09</v>
      </c>
      <c r="F6" s="77">
        <v>25</v>
      </c>
      <c r="G6" s="40">
        <f>IFERROR(-PMT(0.09/12,25*12,5000000),0)</f>
        <v>41959.818181742165</v>
      </c>
      <c r="H6" s="40">
        <f>IFERROR(G6*25*12-5000000,0)</f>
        <v>7587945.4545226507</v>
      </c>
      <c r="I6" s="40">
        <v>200000</v>
      </c>
      <c r="J6" s="40">
        <f>IFERROR(G6*25*12-5000000-200000*IF("Yearly"="Yearly",25,IF("Yearly"="Monthly",25*12,1)),0)</f>
        <v>2587945.4545226507</v>
      </c>
      <c r="K6" s="73">
        <f t="shared" si="0"/>
        <v>7387945.4545226507</v>
      </c>
    </row>
    <row r="7" spans="1:11" ht="19.5" customHeight="1" x14ac:dyDescent="0.3">
      <c r="B7" s="69">
        <v>3</v>
      </c>
      <c r="C7" s="70" t="s">
        <v>99</v>
      </c>
      <c r="D7" s="33">
        <v>1500000</v>
      </c>
      <c r="E7" s="71">
        <v>7.4999999999999997E-2</v>
      </c>
      <c r="F7" s="72">
        <v>15</v>
      </c>
      <c r="G7" s="33">
        <f>IFERROR(-PMT(0.075/12,15*12,1500000),0)</f>
        <v>13905.185400041073</v>
      </c>
      <c r="H7" s="33">
        <f>IFERROR(G7*15*12-1500000,0)</f>
        <v>1002933.3720073933</v>
      </c>
      <c r="I7" s="33">
        <v>50000</v>
      </c>
      <c r="J7" s="33">
        <f>IFERROR(G7*15*12-1500000-50000*IF("Yearly"="Yearly",15,IF("Yearly"="Monthly",15*12,1)),0)</f>
        <v>252933.37200739328</v>
      </c>
      <c r="K7" s="73">
        <f t="shared" si="0"/>
        <v>952933.37200739328</v>
      </c>
    </row>
    <row r="8" spans="1:11" ht="19.5" customHeight="1" x14ac:dyDescent="0.3">
      <c r="B8" s="74">
        <v>4</v>
      </c>
      <c r="C8" s="75" t="s">
        <v>100</v>
      </c>
      <c r="D8" s="40">
        <v>4000000</v>
      </c>
      <c r="E8" s="76">
        <v>8.7499999999999994E-2</v>
      </c>
      <c r="F8" s="77">
        <v>20</v>
      </c>
      <c r="G8" s="40">
        <f>IFERROR(-PMT(0.0875/12,20*12,4000000),0)</f>
        <v>35348.428356377393</v>
      </c>
      <c r="H8" s="40">
        <f>IFERROR(G8*20*12-4000000,0)</f>
        <v>4483622.8055305742</v>
      </c>
      <c r="I8" s="40">
        <v>200000</v>
      </c>
      <c r="J8" s="40">
        <f>IFERROR(G8*20*12-4000000-200000*IF("Yearly"="Yearly",20,IF("Yearly"="Monthly",20*12,1)),0)</f>
        <v>483622.80553057417</v>
      </c>
      <c r="K8" s="73">
        <f t="shared" si="0"/>
        <v>4283622.8055305742</v>
      </c>
    </row>
    <row r="9" spans="1:11" ht="19.5" customHeight="1" x14ac:dyDescent="0.3">
      <c r="B9" s="69">
        <v>5</v>
      </c>
      <c r="C9" s="70" t="s">
        <v>101</v>
      </c>
      <c r="D9" s="33">
        <v>6000000</v>
      </c>
      <c r="E9" s="71">
        <v>9.2499999999999999E-2</v>
      </c>
      <c r="F9" s="72">
        <v>30</v>
      </c>
      <c r="G9" s="33">
        <f>IFERROR(-PMT(0.0925/12,30*12,6000000),0)</f>
        <v>49360.525530256571</v>
      </c>
      <c r="H9" s="33">
        <f>IFERROR(G9*30*12-6000000,0)</f>
        <v>11769789.190892365</v>
      </c>
      <c r="I9" s="33">
        <v>300000</v>
      </c>
      <c r="J9" s="33">
        <f>IFERROR(G9*30*12-6000000-300000*IF("Yearly"="Yearly",30,IF("Yearly"="Monthly",30*12,1)),0)</f>
        <v>2769789.1908923648</v>
      </c>
      <c r="K9" s="73">
        <f t="shared" si="0"/>
        <v>11469789.190892365</v>
      </c>
    </row>
    <row r="10" spans="1:11" ht="19.5" customHeight="1" x14ac:dyDescent="0.3">
      <c r="B10" s="74">
        <v>6</v>
      </c>
      <c r="C10" s="75" t="s">
        <v>102</v>
      </c>
      <c r="D10" s="40">
        <v>2500000</v>
      </c>
      <c r="E10" s="76">
        <v>6.5000000000000002E-2</v>
      </c>
      <c r="F10" s="77">
        <v>20</v>
      </c>
      <c r="G10" s="40">
        <f>IFERROR(-PMT(0.065/12,20*12,2500000),0)</f>
        <v>18639.328387877424</v>
      </c>
      <c r="H10" s="40">
        <f>IFERROR(G10*20*12-2500000,0)</f>
        <v>1973438.8130905814</v>
      </c>
      <c r="I10" s="40">
        <v>75000</v>
      </c>
      <c r="J10" s="40">
        <f>IFERROR(G10*20*12-2500000-75000*IF("Yearly"="Yearly",20,IF("Yearly"="Monthly",20*12,1)),0)</f>
        <v>473438.81309058145</v>
      </c>
      <c r="K10" s="73">
        <f t="shared" si="0"/>
        <v>1898438.8130905814</v>
      </c>
    </row>
    <row r="11" spans="1:11" ht="19.5" customHeight="1" x14ac:dyDescent="0.3">
      <c r="B11" s="69">
        <v>7</v>
      </c>
      <c r="C11" s="70" t="s">
        <v>103</v>
      </c>
      <c r="D11" s="33">
        <v>3500000</v>
      </c>
      <c r="E11" s="71">
        <v>0.08</v>
      </c>
      <c r="F11" s="72">
        <v>25</v>
      </c>
      <c r="G11" s="33">
        <f>IFERROR(-PMT(0.08/12,25*12,3500000),0)</f>
        <v>27013.567678055108</v>
      </c>
      <c r="H11" s="33">
        <f>IFERROR(G11*25*12-3500000,0)</f>
        <v>4604070.3034165315</v>
      </c>
      <c r="I11" s="33">
        <v>150000</v>
      </c>
      <c r="J11" s="33">
        <f>IFERROR(G11*25*12-3500000-150000*IF("Yearly"="Yearly",25,IF("Yearly"="Monthly",25*12,1)),0)</f>
        <v>854070.30341653153</v>
      </c>
      <c r="K11" s="73">
        <f t="shared" si="0"/>
        <v>4454070.3034165315</v>
      </c>
    </row>
    <row r="12" spans="1:11" ht="19.5" customHeight="1" x14ac:dyDescent="0.3">
      <c r="B12" s="74">
        <v>8</v>
      </c>
      <c r="C12" s="75" t="s">
        <v>104</v>
      </c>
      <c r="D12" s="40">
        <v>4500000</v>
      </c>
      <c r="E12" s="76">
        <v>8.5000000000000006E-2</v>
      </c>
      <c r="F12" s="77">
        <v>20</v>
      </c>
      <c r="G12" s="40">
        <f>IFERROR(-PMT(0.085/12,20*12,4500000),0)</f>
        <v>39052.045501449022</v>
      </c>
      <c r="H12" s="40">
        <f>IFERROR(G12*20*12-4500000,0)</f>
        <v>4872490.9203477651</v>
      </c>
      <c r="I12" s="40">
        <v>500000</v>
      </c>
      <c r="J12" s="40">
        <f>IFERROR(G12*20*12-4500000-500000*IF("One-time"="Yearly",20,IF("One-time"="Monthly",20*12,1)),0)</f>
        <v>4372490.9203477651</v>
      </c>
      <c r="K12" s="73">
        <f t="shared" si="0"/>
        <v>4372490.9203477651</v>
      </c>
    </row>
    <row r="13" spans="1:11" ht="19.5" customHeight="1" x14ac:dyDescent="0.3">
      <c r="B13" s="69">
        <v>9</v>
      </c>
      <c r="C13" s="70" t="s">
        <v>105</v>
      </c>
      <c r="D13" s="33">
        <v>2000000</v>
      </c>
      <c r="E13" s="71">
        <v>0.09</v>
      </c>
      <c r="F13" s="72">
        <v>20</v>
      </c>
      <c r="G13" s="33">
        <f>IFERROR(-PMT(0.09/12,20*12,2000000),0)</f>
        <v>17994.519117003463</v>
      </c>
      <c r="H13" s="33">
        <f>IFERROR(G13*20*12-2000000,0)</f>
        <v>2318684.5880808309</v>
      </c>
      <c r="I13" s="33">
        <v>5000</v>
      </c>
      <c r="J13" s="33">
        <f>IFERROR(G13*20*12-2000000-5000*IF("Monthly"="Yearly",20,IF("Monthly"="Monthly",20*12,1)),0)</f>
        <v>1118684.5880808309</v>
      </c>
      <c r="K13" s="73">
        <f t="shared" si="0"/>
        <v>2313684.5880808309</v>
      </c>
    </row>
    <row r="14" spans="1:11" ht="19.5" customHeight="1" x14ac:dyDescent="0.3">
      <c r="B14" s="74">
        <v>10</v>
      </c>
      <c r="C14" s="75" t="s">
        <v>106</v>
      </c>
      <c r="D14" s="40">
        <v>3000000</v>
      </c>
      <c r="E14" s="76">
        <v>8.2500000000000004E-2</v>
      </c>
      <c r="F14" s="77">
        <v>15</v>
      </c>
      <c r="G14" s="40">
        <f>IFERROR(-PMT(0.0825/12,15*12,3000000),0)</f>
        <v>29104.210733793454</v>
      </c>
      <c r="H14" s="40">
        <f>IFERROR(G14*15*12-3000000,0)</f>
        <v>2238757.9320828216</v>
      </c>
      <c r="I14" s="40">
        <v>100000</v>
      </c>
      <c r="J14" s="40">
        <f>IFERROR(G14*15*12-3000000-100000*IF("Yearly"="Yearly",15,IF("Yearly"="Monthly",15*12,1)),0)</f>
        <v>738757.93208282162</v>
      </c>
      <c r="K14" s="73">
        <f t="shared" si="0"/>
        <v>2138757.9320828216</v>
      </c>
    </row>
    <row r="15" spans="1:11" ht="19.5" customHeight="1" x14ac:dyDescent="0.3">
      <c r="B15" s="69">
        <v>11</v>
      </c>
      <c r="C15" s="70" t="s">
        <v>107</v>
      </c>
      <c r="D15" s="33">
        <v>2500000</v>
      </c>
      <c r="E15" s="71">
        <v>9.5000000000000001E-2</v>
      </c>
      <c r="F15" s="72">
        <v>20</v>
      </c>
      <c r="G15" s="33">
        <f>IFERROR(-PMT(0.095/12,20*12,2500000),0)</f>
        <v>23303.279695837955</v>
      </c>
      <c r="H15" s="33">
        <f>IFERROR(G15*20*12-2500000,0)</f>
        <v>3092787.1270011095</v>
      </c>
      <c r="I15" s="33">
        <v>50000</v>
      </c>
      <c r="J15" s="33">
        <f>IFERROR(G15*20*12-2500000-50000*IF("Yearly"="Yearly",20,IF("Yearly"="Monthly",20*12,1)),0)</f>
        <v>2092787.1270011095</v>
      </c>
      <c r="K15" s="73">
        <f t="shared" si="0"/>
        <v>3042787.1270011095</v>
      </c>
    </row>
    <row r="16" spans="1:11" ht="19.5" customHeight="1" x14ac:dyDescent="0.3">
      <c r="B16" s="74">
        <v>12</v>
      </c>
      <c r="C16" s="75" t="s">
        <v>108</v>
      </c>
      <c r="D16" s="40">
        <v>7500000</v>
      </c>
      <c r="E16" s="76">
        <v>8.7499999999999994E-2</v>
      </c>
      <c r="F16" s="77">
        <v>25</v>
      </c>
      <c r="G16" s="40">
        <f>IFERROR(-PMT(0.0875/12,25*12,7500000),0)</f>
        <v>61660.772708795514</v>
      </c>
      <c r="H16" s="40">
        <f>IFERROR(G16*25*12-7500000,0)</f>
        <v>10998231.812638655</v>
      </c>
      <c r="I16" s="40">
        <v>500000</v>
      </c>
      <c r="J16" s="40">
        <f>IFERROR(G16*25*12-7500000-500000*IF("One-time"="Yearly",25,IF("One-time"="Monthly",25*12,1)),0)</f>
        <v>10498231.812638655</v>
      </c>
      <c r="K16" s="73">
        <f t="shared" si="0"/>
        <v>10498231.812638655</v>
      </c>
    </row>
  </sheetData>
  <mergeCells count="2">
    <mergeCell ref="A1:K1"/>
    <mergeCell ref="A2:K2"/>
  </mergeCells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37474F"/>
  </sheetPr>
  <dimension ref="A1:D38"/>
  <sheetViews>
    <sheetView showGridLines="0" zoomScaleNormal="100" workbookViewId="0"/>
  </sheetViews>
  <sheetFormatPr defaultColWidth="8.6640625" defaultRowHeight="14.4" x14ac:dyDescent="0.3"/>
  <cols>
    <col min="1" max="1" width="3" customWidth="1"/>
    <col min="2" max="2" width="40" customWidth="1"/>
    <col min="3" max="3" width="50" customWidth="1"/>
    <col min="4" max="4" width="3" customWidth="1"/>
  </cols>
  <sheetData>
    <row r="1" spans="1:4" ht="36" customHeight="1" x14ac:dyDescent="0.3">
      <c r="A1" s="8" t="s">
        <v>109</v>
      </c>
      <c r="B1" s="8"/>
      <c r="C1" s="8"/>
      <c r="D1" s="8"/>
    </row>
    <row r="3" spans="1:4" ht="7.5" customHeight="1" x14ac:dyDescent="0.3"/>
    <row r="4" spans="1:4" ht="24" customHeight="1" x14ac:dyDescent="0.3">
      <c r="B4" s="91" t="s">
        <v>110</v>
      </c>
      <c r="C4" s="91"/>
    </row>
    <row r="5" spans="1:4" ht="19.5" customHeight="1" x14ac:dyDescent="0.3">
      <c r="B5" s="15" t="s">
        <v>111</v>
      </c>
      <c r="C5" s="78" t="s">
        <v>112</v>
      </c>
    </row>
    <row r="6" spans="1:4" ht="19.5" customHeight="1" x14ac:dyDescent="0.3">
      <c r="B6" s="15" t="s">
        <v>113</v>
      </c>
      <c r="C6" s="79" t="s">
        <v>114</v>
      </c>
    </row>
    <row r="7" spans="1:4" ht="19.5" customHeight="1" x14ac:dyDescent="0.3">
      <c r="B7" s="15" t="s">
        <v>115</v>
      </c>
      <c r="C7" s="78" t="s">
        <v>116</v>
      </c>
    </row>
    <row r="8" spans="1:4" ht="19.5" customHeight="1" x14ac:dyDescent="0.3">
      <c r="B8" s="15" t="s">
        <v>117</v>
      </c>
      <c r="C8" s="79" t="s">
        <v>118</v>
      </c>
    </row>
    <row r="9" spans="1:4" ht="7.5" customHeight="1" x14ac:dyDescent="0.3"/>
    <row r="10" spans="1:4" ht="24" customHeight="1" x14ac:dyDescent="0.3">
      <c r="B10" s="92" t="s">
        <v>119</v>
      </c>
      <c r="C10" s="92"/>
    </row>
    <row r="11" spans="1:4" ht="19.5" customHeight="1" x14ac:dyDescent="0.3">
      <c r="B11" s="15" t="s">
        <v>111</v>
      </c>
      <c r="C11" s="78" t="s">
        <v>120</v>
      </c>
    </row>
    <row r="12" spans="1:4" ht="19.5" customHeight="1" x14ac:dyDescent="0.3">
      <c r="B12" s="15" t="s">
        <v>113</v>
      </c>
      <c r="C12" s="79" t="s">
        <v>121</v>
      </c>
    </row>
    <row r="13" spans="1:4" ht="19.5" customHeight="1" x14ac:dyDescent="0.3">
      <c r="B13" s="15" t="s">
        <v>115</v>
      </c>
      <c r="C13" s="78" t="s">
        <v>122</v>
      </c>
    </row>
    <row r="14" spans="1:4" ht="19.5" customHeight="1" x14ac:dyDescent="0.3">
      <c r="B14" s="15" t="s">
        <v>117</v>
      </c>
      <c r="C14" s="79" t="s">
        <v>123</v>
      </c>
    </row>
    <row r="15" spans="1:4" ht="7.5" customHeight="1" x14ac:dyDescent="0.3"/>
    <row r="16" spans="1:4" ht="24" customHeight="1" x14ac:dyDescent="0.3">
      <c r="B16" s="93" t="s">
        <v>124</v>
      </c>
      <c r="C16" s="93"/>
    </row>
    <row r="17" spans="2:3" ht="19.5" customHeight="1" x14ac:dyDescent="0.3">
      <c r="B17" s="15" t="s">
        <v>111</v>
      </c>
      <c r="C17" s="78" t="s">
        <v>125</v>
      </c>
    </row>
    <row r="18" spans="2:3" ht="19.5" customHeight="1" x14ac:dyDescent="0.3">
      <c r="B18" s="15" t="s">
        <v>113</v>
      </c>
      <c r="C18" s="79" t="s">
        <v>126</v>
      </c>
    </row>
    <row r="19" spans="2:3" ht="19.5" customHeight="1" x14ac:dyDescent="0.3">
      <c r="B19" s="15" t="s">
        <v>115</v>
      </c>
      <c r="C19" s="78" t="s">
        <v>127</v>
      </c>
    </row>
    <row r="20" spans="2:3" ht="19.5" customHeight="1" x14ac:dyDescent="0.3">
      <c r="B20" s="15" t="s">
        <v>117</v>
      </c>
      <c r="C20" s="79" t="s">
        <v>128</v>
      </c>
    </row>
    <row r="21" spans="2:3" ht="7.5" customHeight="1" x14ac:dyDescent="0.3"/>
    <row r="22" spans="2:3" ht="24" customHeight="1" x14ac:dyDescent="0.3">
      <c r="B22" s="94" t="s">
        <v>129</v>
      </c>
      <c r="C22" s="94"/>
    </row>
    <row r="23" spans="2:3" ht="19.5" customHeight="1" x14ac:dyDescent="0.3">
      <c r="B23" s="15" t="s">
        <v>130</v>
      </c>
      <c r="C23" s="78" t="s">
        <v>131</v>
      </c>
    </row>
    <row r="24" spans="2:3" ht="19.5" customHeight="1" x14ac:dyDescent="0.3">
      <c r="B24" s="15" t="s">
        <v>132</v>
      </c>
      <c r="C24" s="79" t="s">
        <v>133</v>
      </c>
    </row>
    <row r="25" spans="2:3" ht="19.5" customHeight="1" x14ac:dyDescent="0.3">
      <c r="B25" s="15"/>
      <c r="C25" s="78" t="s">
        <v>134</v>
      </c>
    </row>
    <row r="26" spans="2:3" ht="19.5" customHeight="1" x14ac:dyDescent="0.3">
      <c r="B26" s="15"/>
      <c r="C26" s="79" t="s">
        <v>135</v>
      </c>
    </row>
    <row r="27" spans="2:3" ht="19.5" customHeight="1" x14ac:dyDescent="0.3">
      <c r="B27" s="15" t="s">
        <v>115</v>
      </c>
      <c r="C27" s="78" t="s">
        <v>136</v>
      </c>
    </row>
    <row r="28" spans="2:3" ht="7.5" customHeight="1" x14ac:dyDescent="0.3"/>
    <row r="29" spans="2:3" ht="24" customHeight="1" x14ac:dyDescent="0.3">
      <c r="B29" s="95" t="s">
        <v>137</v>
      </c>
      <c r="C29" s="95"/>
    </row>
    <row r="30" spans="2:3" ht="19.5" customHeight="1" x14ac:dyDescent="0.3">
      <c r="B30" s="15" t="s">
        <v>111</v>
      </c>
      <c r="C30" s="79" t="s">
        <v>138</v>
      </c>
    </row>
    <row r="31" spans="2:3" ht="19.5" customHeight="1" x14ac:dyDescent="0.3">
      <c r="B31" s="15" t="s">
        <v>113</v>
      </c>
      <c r="C31" s="78" t="s">
        <v>139</v>
      </c>
    </row>
    <row r="32" spans="2:3" ht="19.5" customHeight="1" x14ac:dyDescent="0.3">
      <c r="B32" s="15" t="s">
        <v>115</v>
      </c>
      <c r="C32" s="79" t="s">
        <v>140</v>
      </c>
    </row>
    <row r="33" spans="2:3" ht="7.5" customHeight="1" x14ac:dyDescent="0.3"/>
    <row r="34" spans="2:3" ht="24" customHeight="1" x14ac:dyDescent="0.3">
      <c r="B34" s="96" t="s">
        <v>141</v>
      </c>
      <c r="C34" s="96"/>
    </row>
    <row r="35" spans="2:3" ht="19.5" customHeight="1" x14ac:dyDescent="0.3">
      <c r="B35" s="15" t="s">
        <v>142</v>
      </c>
      <c r="C35" s="78" t="s">
        <v>143</v>
      </c>
    </row>
    <row r="36" spans="2:3" ht="19.5" customHeight="1" x14ac:dyDescent="0.3">
      <c r="B36" s="15" t="s">
        <v>144</v>
      </c>
      <c r="C36" s="79" t="s">
        <v>145</v>
      </c>
    </row>
    <row r="37" spans="2:3" ht="19.5" customHeight="1" x14ac:dyDescent="0.3">
      <c r="B37" s="15" t="s">
        <v>146</v>
      </c>
      <c r="C37" s="78" t="s">
        <v>147</v>
      </c>
    </row>
    <row r="38" spans="2:3" ht="19.5" customHeight="1" x14ac:dyDescent="0.3">
      <c r="B38" s="15" t="s">
        <v>148</v>
      </c>
      <c r="C38" s="79" t="s">
        <v>149</v>
      </c>
    </row>
  </sheetData>
  <mergeCells count="7">
    <mergeCell ref="B29:C29"/>
    <mergeCell ref="B34:C34"/>
    <mergeCell ref="A1:D1"/>
    <mergeCell ref="B4:C4"/>
    <mergeCell ref="B10:C10"/>
    <mergeCell ref="B16:C16"/>
    <mergeCell ref="B22:C22"/>
  </mergeCells>
  <pageMargins left="0.75" right="0.75" top="1" bottom="1" header="0.511811023622047" footer="0.511811023622047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838F"/>
  </sheetPr>
  <dimension ref="A1:C50"/>
  <sheetViews>
    <sheetView showGridLines="0" zoomScaleNormal="100" workbookViewId="0"/>
  </sheetViews>
  <sheetFormatPr defaultColWidth="8.6640625" defaultRowHeight="14.4" x14ac:dyDescent="0.3"/>
  <cols>
    <col min="1" max="1" width="3" customWidth="1"/>
    <col min="2" max="2" width="60" customWidth="1"/>
    <col min="3" max="3" width="3" customWidth="1"/>
  </cols>
  <sheetData>
    <row r="1" spans="1:3" ht="39.75" customHeight="1" x14ac:dyDescent="0.3">
      <c r="A1" s="8" t="s">
        <v>150</v>
      </c>
      <c r="B1" s="8"/>
      <c r="C1" s="8"/>
    </row>
    <row r="3" spans="1:3" ht="7.5" customHeight="1" x14ac:dyDescent="0.3"/>
    <row r="4" spans="1:3" ht="27.75" customHeight="1" x14ac:dyDescent="0.3">
      <c r="B4" s="80" t="s">
        <v>151</v>
      </c>
    </row>
    <row r="5" spans="1:3" ht="19.5" customHeight="1" x14ac:dyDescent="0.3">
      <c r="B5" s="81" t="s">
        <v>152</v>
      </c>
    </row>
    <row r="6" spans="1:3" ht="19.5" customHeight="1" x14ac:dyDescent="0.3">
      <c r="B6" s="82" t="s">
        <v>153</v>
      </c>
    </row>
    <row r="7" spans="1:3" ht="19.5" customHeight="1" x14ac:dyDescent="0.3">
      <c r="B7" s="81" t="s">
        <v>154</v>
      </c>
    </row>
    <row r="8" spans="1:3" ht="19.5" customHeight="1" x14ac:dyDescent="0.3">
      <c r="B8" s="82" t="s">
        <v>155</v>
      </c>
    </row>
    <row r="9" spans="1:3" ht="19.5" customHeight="1" x14ac:dyDescent="0.3">
      <c r="B9" s="81" t="s">
        <v>156</v>
      </c>
    </row>
    <row r="10" spans="1:3" ht="19.5" customHeight="1" x14ac:dyDescent="0.3">
      <c r="B10" s="82" t="s">
        <v>157</v>
      </c>
    </row>
    <row r="11" spans="1:3" ht="7.5" customHeight="1" x14ac:dyDescent="0.3"/>
    <row r="12" spans="1:3" ht="27.75" customHeight="1" x14ac:dyDescent="0.3">
      <c r="B12" s="83" t="s">
        <v>158</v>
      </c>
    </row>
    <row r="13" spans="1:3" ht="19.5" customHeight="1" x14ac:dyDescent="0.3">
      <c r="B13" s="81" t="s">
        <v>159</v>
      </c>
    </row>
    <row r="14" spans="1:3" ht="19.5" customHeight="1" x14ac:dyDescent="0.3">
      <c r="B14" s="82" t="s">
        <v>160</v>
      </c>
    </row>
    <row r="15" spans="1:3" ht="19.5" customHeight="1" x14ac:dyDescent="0.3">
      <c r="B15" s="81" t="s">
        <v>161</v>
      </c>
    </row>
    <row r="16" spans="1:3" ht="19.5" customHeight="1" x14ac:dyDescent="0.3">
      <c r="B16" s="82" t="s">
        <v>162</v>
      </c>
    </row>
    <row r="17" spans="2:2" ht="7.5" customHeight="1" x14ac:dyDescent="0.3"/>
    <row r="18" spans="2:2" ht="27.75" customHeight="1" x14ac:dyDescent="0.3">
      <c r="B18" s="84" t="s">
        <v>163</v>
      </c>
    </row>
    <row r="19" spans="2:2" ht="19.5" customHeight="1" x14ac:dyDescent="0.3">
      <c r="B19" s="81" t="s">
        <v>164</v>
      </c>
    </row>
    <row r="20" spans="2:2" ht="19.5" customHeight="1" x14ac:dyDescent="0.3">
      <c r="B20" s="82" t="s">
        <v>165</v>
      </c>
    </row>
    <row r="21" spans="2:2" ht="19.5" customHeight="1" x14ac:dyDescent="0.3">
      <c r="B21" s="81" t="s">
        <v>166</v>
      </c>
    </row>
    <row r="22" spans="2:2" ht="19.5" customHeight="1" x14ac:dyDescent="0.3">
      <c r="B22" s="82" t="s">
        <v>167</v>
      </c>
    </row>
    <row r="23" spans="2:2" ht="19.5" customHeight="1" x14ac:dyDescent="0.3">
      <c r="B23" s="81" t="s">
        <v>168</v>
      </c>
    </row>
    <row r="24" spans="2:2" ht="19.5" customHeight="1" x14ac:dyDescent="0.3">
      <c r="B24" s="82" t="s">
        <v>169</v>
      </c>
    </row>
    <row r="25" spans="2:2" ht="7.5" customHeight="1" x14ac:dyDescent="0.3"/>
    <row r="26" spans="2:2" ht="27.75" customHeight="1" x14ac:dyDescent="0.3">
      <c r="B26" s="85" t="s">
        <v>170</v>
      </c>
    </row>
    <row r="27" spans="2:2" ht="19.5" customHeight="1" x14ac:dyDescent="0.3">
      <c r="B27" s="81" t="s">
        <v>171</v>
      </c>
    </row>
    <row r="28" spans="2:2" ht="19.5" customHeight="1" x14ac:dyDescent="0.3">
      <c r="B28" s="82" t="s">
        <v>172</v>
      </c>
    </row>
    <row r="29" spans="2:2" ht="19.5" customHeight="1" x14ac:dyDescent="0.3">
      <c r="B29" s="81" t="s">
        <v>173</v>
      </c>
    </row>
    <row r="30" spans="2:2" ht="19.5" customHeight="1" x14ac:dyDescent="0.3">
      <c r="B30" s="82" t="s">
        <v>174</v>
      </c>
    </row>
    <row r="31" spans="2:2" ht="7.5" customHeight="1" x14ac:dyDescent="0.3"/>
    <row r="32" spans="2:2" ht="27.75" customHeight="1" x14ac:dyDescent="0.3">
      <c r="B32" s="86" t="s">
        <v>175</v>
      </c>
    </row>
    <row r="33" spans="2:2" ht="19.5" customHeight="1" x14ac:dyDescent="0.3">
      <c r="B33" s="81" t="s">
        <v>176</v>
      </c>
    </row>
    <row r="34" spans="2:2" ht="19.5" customHeight="1" x14ac:dyDescent="0.3">
      <c r="B34" s="82" t="s">
        <v>177</v>
      </c>
    </row>
    <row r="35" spans="2:2" ht="19.5" customHeight="1" x14ac:dyDescent="0.3">
      <c r="B35" s="81" t="s">
        <v>178</v>
      </c>
    </row>
    <row r="36" spans="2:2" ht="19.5" customHeight="1" x14ac:dyDescent="0.3">
      <c r="B36" s="82" t="s">
        <v>179</v>
      </c>
    </row>
    <row r="37" spans="2:2" ht="19.5" customHeight="1" x14ac:dyDescent="0.3">
      <c r="B37" s="81" t="s">
        <v>180</v>
      </c>
    </row>
    <row r="38" spans="2:2" ht="7.5" customHeight="1" x14ac:dyDescent="0.3"/>
    <row r="39" spans="2:2" ht="27.75" customHeight="1" x14ac:dyDescent="0.3">
      <c r="B39" s="87" t="s">
        <v>181</v>
      </c>
    </row>
    <row r="40" spans="2:2" ht="19.5" customHeight="1" x14ac:dyDescent="0.3">
      <c r="B40" s="82" t="s">
        <v>182</v>
      </c>
    </row>
    <row r="41" spans="2:2" ht="19.5" customHeight="1" x14ac:dyDescent="0.3">
      <c r="B41" s="81" t="s">
        <v>183</v>
      </c>
    </row>
    <row r="42" spans="2:2" ht="19.5" customHeight="1" x14ac:dyDescent="0.3">
      <c r="B42" s="82" t="s">
        <v>184</v>
      </c>
    </row>
    <row r="43" spans="2:2" ht="7.5" customHeight="1" x14ac:dyDescent="0.3"/>
    <row r="44" spans="2:2" ht="27.75" customHeight="1" x14ac:dyDescent="0.3">
      <c r="B44" s="84" t="s">
        <v>185</v>
      </c>
    </row>
    <row r="45" spans="2:2" ht="19.5" customHeight="1" x14ac:dyDescent="0.3">
      <c r="B45" s="81" t="s">
        <v>186</v>
      </c>
    </row>
    <row r="46" spans="2:2" ht="19.5" customHeight="1" x14ac:dyDescent="0.3">
      <c r="B46" s="82" t="s">
        <v>187</v>
      </c>
    </row>
    <row r="47" spans="2:2" ht="19.5" customHeight="1" x14ac:dyDescent="0.3">
      <c r="B47" s="81" t="s">
        <v>188</v>
      </c>
    </row>
    <row r="48" spans="2:2" ht="19.5" customHeight="1" x14ac:dyDescent="0.3">
      <c r="B48" s="82" t="s">
        <v>189</v>
      </c>
    </row>
    <row r="49" spans="2:2" ht="19.5" customHeight="1" x14ac:dyDescent="0.3">
      <c r="B49" s="81" t="s">
        <v>190</v>
      </c>
    </row>
    <row r="50" spans="2:2" ht="19.5" customHeight="1" x14ac:dyDescent="0.3">
      <c r="B50" s="82" t="s">
        <v>191</v>
      </c>
    </row>
  </sheetData>
  <mergeCells count="1">
    <mergeCell ref="A1:C1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EMI Calculator</vt:lpstr>
      <vt:lpstr>Amortization Schedule</vt:lpstr>
      <vt:lpstr>Prepayment Calculator</vt:lpstr>
      <vt:lpstr>Loan Comparison</vt:lpstr>
      <vt:lpstr>Strategy Simulator</vt:lpstr>
      <vt:lpstr>Example Scenarios</vt:lpstr>
      <vt:lpstr>Formula Guide</vt:lpstr>
      <vt:lpstr>User Guide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Rajkumar Logre</cp:lastModifiedBy>
  <cp:revision>0</cp:revision>
  <dcterms:created xsi:type="dcterms:W3CDTF">2026-03-10T05:55:47Z</dcterms:created>
  <dcterms:modified xsi:type="dcterms:W3CDTF">2026-03-10T06:01:59Z</dcterms:modified>
  <dc:language>en-US</dc:language>
</cp:coreProperties>
</file>